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8F09E90E-89FC-4725-9F14-7E4B33F1D7D3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2" i="4" l="1"/>
  <c r="F92" i="4"/>
  <c r="H30" i="4"/>
  <c r="G30" i="4"/>
  <c r="E91" i="4"/>
  <c r="F91" i="4"/>
  <c r="F44" i="4"/>
  <c r="E44" i="4"/>
  <c r="F30" i="4"/>
  <c r="E30" i="4"/>
  <c r="D44" i="4"/>
  <c r="C44" i="4"/>
  <c r="D30" i="4"/>
  <c r="C30" i="4"/>
  <c r="H52" i="2" l="1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H75" i="3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<sst xmlns="http://schemas.openxmlformats.org/spreadsheetml/2006/main" count="391" uniqueCount="271">
  <si>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</si>
  <si>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</si>
  <si>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</si>
  <si>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</si>
  <si>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</si>
  <si>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</si>
  <si>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</si>
  <si>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</si>
  <si>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</si>
  <si>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</si>
  <si>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</si>
  <si>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</si>
  <si>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</si>
  <si>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</si>
  <si>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</si>
  <si>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</si>
  <si>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</si>
  <si>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</si>
  <si>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</si>
  <si>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</si>
  <si>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</si>
  <si>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</si>
  <si>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</si>
  <si>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</si>
  <si>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</si>
  <si>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</si>
  <si>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</si>
  <si>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</si>
  <si>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</si>
  <si>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</si>
  <si>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</si>
  <si>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</si>
  <si>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</si>
  <si>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</si>
  <si>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</si>
  <si>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</si>
  <si>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</si>
  <si>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</si>
  <si>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</si>
  <si>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</si>
  <si>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</si>
  <si>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</si>
  <si>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</si>
  <si>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</si>
  <si>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</si>
  <si>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</si>
  <si>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</si>
  <si>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</si>
  <si>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</si>
  <si>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</si>
  <si>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</si>
  <si>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</si>
  <si>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</si>
  <si>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</si>
  <si>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</si>
  <si>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</si>
  <si>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</si>
  <si>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</si>
  <si>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</si>
  <si>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</si>
  <si>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</si>
  <si>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</si>
  <si>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</si>
  <si>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</si>
  <si>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</si>
  <si>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</si>
  <si>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</si>
  <si>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</si>
  <si>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</si>
  <si>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</si>
  <si>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</si>
  <si>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</si>
  <si>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</si>
  <si>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</si>
  <si>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</si>
  <si>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</si>
  <si>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</si>
  <si>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</si>
  <si>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</si>
  <si>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</si>
  <si>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</si>
  <si>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</si>
  <si>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</si>
  <si>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</si>
  <si>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</si>
  <si>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</si>
  <si>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</si>
  <si>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</si>
  <si>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</si>
  <si>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</si>
  <si>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</si>
  <si>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</si>
  <si>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</si>
  <si>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</si>
  <si>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</si>
  <si>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</si>
  <si>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</si>
  <si>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</si>
  <si>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</si>
  <si>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</si>
  <si>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</si>
  <si>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</si>
  <si>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</si>
  <si>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</si>
  <si>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</si>
  <si>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</si>
  <si>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</si>
  <si>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</si>
  <si>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</si>
  <si>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</si>
  <si>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</si>
  <si>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</si>
  <si>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</si>
  <si>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</si>
  <si>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</si>
  <si>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</si>
  <si>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</si>
  <si>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</si>
  <si>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</si>
  <si>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</si>
  <si>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</si>
  <si>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</si>
  <si>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</si>
  <si>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</si>
  <si>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</si>
  <si>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</si>
  <si>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</si>
  <si>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</si>
  <si>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</si>
  <si>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</si>
  <si>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</si>
  <si>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</si>
  <si>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</si>
  <si>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</si>
  <si>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</si>
  <si>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</si>
  <si>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</si>
  <si>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</si>
  <si>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</si>
  <si>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</si>
  <si>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</si>
  <si>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</si>
  <si>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</si>
  <si>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</si>
  <si>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</si>
  <si>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</si>
  <si>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</si>
  <si>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</si>
  <si>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</si>
  <si>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</si>
  <si>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</si>
  <si>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</si>
  <si>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</si>
  <si>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</si>
  <si>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</si>
  <si>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</si>
  <si>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</si>
  <si>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</si>
  <si>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</si>
  <si>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</si>
  <si>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</si>
  <si>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</si>
  <si>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</si>
  <si>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</si>
  <si>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</si>
  <si>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</si>
  <si>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</si>
  <si>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</si>
  <si>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</si>
  <si>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</si>
  <si>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</si>
  <si>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</si>
  <si>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</si>
  <si>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</si>
  <si>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</si>
  <si>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</si>
  <si>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</si>
  <si>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</si>
  <si>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</si>
  <si>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</si>
  <si>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</si>
  <si>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</si>
  <si>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</si>
  <si>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</si>
  <si>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</si>
  <si>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</si>
  <si>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</si>
  <si>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</si>
  <si>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</si>
  <si>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</si>
  <si>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</si>
  <si>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</si>
  <si>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</si>
  <si>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</si>
  <si>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</si>
  <si>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</si>
  <si>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</si>
  <si>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</si>
  <si>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</si>
  <si>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</si>
  <si>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</si>
  <si>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</si>
  <si>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</si>
  <si>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</si>
  <si>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</si>
  <si>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</si>
  <si>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</si>
  <si>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</si>
  <si>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</si>
  <si>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</si>
  <si>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</si>
  <si>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</si>
  <si>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</si>
  <si>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</si>
  <si>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</si>
  <si>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</si>
  <si>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</si>
  <si>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</si>
  <si>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</si>
  <si>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</si>
  <si>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</si>
  <si>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</si>
  <si>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</si>
  <si>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</si>
  <si>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</si>
  <si>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</si>
  <si>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</si>
  <si>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</si>
  <si>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</si>
  <si>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</si>
  <si>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</si>
  <si>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</si>
  <si>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</si>
  <si>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</si>
  <si>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</si>
  <si>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</si>
  <si>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</si>
  <si>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</si>
  <si>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</si>
  <si>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</si>
  <si>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</si>
  <si>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</si>
  <si>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</si>
  <si>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</si>
  <si>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</si>
  <si>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</si>
  <si>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</si>
  <si>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</si>
  <si>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</si>
  <si>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</si>
  <si>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</si>
  <si>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</si>
  <si>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</si>
  <si>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</si>
  <si>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</si>
  <si>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</si>
  <si>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</si>
  <si>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</si>
  <si>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</si>
  <si>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</si>
  <si>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</si>
  <si>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</si>
  <si>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</si>
  <si>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</si>
  <si>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</si>
  <si>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1171.HK</t>
    <phoneticPr fontId="20" type="noConversion"/>
  </si>
  <si>
    <t>C0017</t>
    <phoneticPr fontId="20" type="noConversion"/>
  </si>
  <si>
    <t>CNY</t>
    <phoneticPr fontId="20" type="noConversion"/>
  </si>
  <si>
    <t>HKD</t>
    <phoneticPr fontId="20" type="noConversion"/>
  </si>
  <si>
    <t>兗礦能源</t>
    <phoneticPr fontId="20" type="noConversion"/>
  </si>
  <si>
    <t>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</si>
</sst>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9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</c:v>
                </c:pt>
                <c:pt idx="1">
                  <c:v>0.12732014981812276</c:v>
                </c:pt>
                <c:pt idx="2">
                  <c:v>5.8307109926881803E-2</c:v>
                </c:pt>
                <c:pt idx="3">
                  <c:v>0</c:v>
                </c:pt>
                <c:pt idx="4">
                  <c:v>3.008431596699165E-2</c:v>
                </c:pt>
                <c:pt idx="5">
                  <c:v>0</c:v>
                </c:pt>
                <c:pt idx="6">
                  <c:v>9.4288424288003866E-2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E99" sqref="E9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87" t="s">
        <v>269</v>
      </c>
    </row>
    <row r="6" spans="1:5" ht="13.9" x14ac:dyDescent="0.4">
      <c r="B6" s="141" t="s">
        <v>163</v>
      </c>
      <c r="C6" s="189">
        <v>45638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10039860402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118434270</v>
      </c>
      <c r="D25" s="149">
        <v>154601505</v>
      </c>
      <c r="E25" s="149">
        <v>108615647</v>
      </c>
      <c r="F25" s="149">
        <v>69123020</v>
      </c>
      <c r="G25" s="149">
        <v>67804644</v>
      </c>
      <c r="H25" s="149">
        <v>67447104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74519273</v>
      </c>
      <c r="D26" s="150">
        <v>80814847</v>
      </c>
      <c r="E26" s="150">
        <v>68680488</v>
      </c>
      <c r="F26" s="150">
        <v>55030653</v>
      </c>
      <c r="G26" s="150">
        <v>46775158</v>
      </c>
      <c r="H26" s="150">
        <v>43140566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15079069</v>
      </c>
      <c r="D27" s="150">
        <v>19718226</v>
      </c>
      <c r="E27" s="150">
        <v>15115462</v>
      </c>
      <c r="F27" s="150">
        <v>8433320</v>
      </c>
      <c r="G27" s="150">
        <v>8777402</v>
      </c>
      <c r="H27" s="150">
        <v>10659581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3563014</v>
      </c>
      <c r="D29" s="150">
        <v>5983260</v>
      </c>
      <c r="E29" s="150">
        <v>5319334</v>
      </c>
      <c r="F29" s="150">
        <v>2867029</v>
      </c>
      <c r="G29" s="150">
        <v>2751234</v>
      </c>
      <c r="H29" s="150">
        <v>3612394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f>4734427+444743</f>
        <v>5179170</v>
      </c>
      <c r="D30" s="150">
        <f>8221221+461944</f>
        <v>8683165</v>
      </c>
      <c r="E30" s="150">
        <f>178664+1699101</f>
        <v>1877765</v>
      </c>
      <c r="F30" s="150">
        <f>491042+56656-1308377</f>
        <v>-760679</v>
      </c>
      <c r="G30" s="150">
        <f>580181+200566+1657387</f>
        <v>2438134</v>
      </c>
      <c r="H30" s="150">
        <f>607095+202733+1930308</f>
        <v>2740136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1.3+0.19</f>
        <v>1.49</v>
      </c>
      <c r="D44" s="250">
        <f>3.07+1.23</f>
        <v>4.3</v>
      </c>
      <c r="E44" s="250">
        <f>1.6+0.4</f>
        <v>2</v>
      </c>
      <c r="F44" s="250">
        <f>0.6+0.4</f>
        <v>1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0.16762541355539104</v>
      </c>
      <c r="D45" s="152">
        <f>IF(D44="","",D44*Exchange_Rate/Dashboard!$G$3)</f>
        <v>0.48375119348200096</v>
      </c>
      <c r="E45" s="152">
        <f>IF(E44="","",E44*Exchange_Rate/Dashboard!$G$3)</f>
        <v>0.22500055510790745</v>
      </c>
      <c r="F45" s="152">
        <f>IF(F44="","",F44*Exchange_Rate/Dashboard!$G$3)</f>
        <v>0.11250027755395373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118434270</v>
      </c>
      <c r="D91" s="209"/>
      <c r="E91" s="251">
        <f>C91*0.7</f>
        <v>82903989</v>
      </c>
      <c r="F91" s="251">
        <f>C91*0.8</f>
        <v>94747416</v>
      </c>
    </row>
    <row r="92" spans="2:8" ht="13.9" x14ac:dyDescent="0.4">
      <c r="B92" s="104" t="s">
        <v>105</v>
      </c>
      <c r="C92" s="77">
        <f>C26</f>
        <v>74519273</v>
      </c>
      <c r="D92" s="159">
        <f>C92/C91</f>
        <v>0.62920363337402252</v>
      </c>
      <c r="E92" s="252">
        <f>E91*72%</f>
        <v>59690872.079999998</v>
      </c>
      <c r="F92" s="252">
        <f>F91*69%</f>
        <v>65375717.039999992</v>
      </c>
    </row>
    <row r="93" spans="2:8" ht="13.9" x14ac:dyDescent="0.4">
      <c r="B93" s="104" t="s">
        <v>247</v>
      </c>
      <c r="C93" s="77">
        <f>C27+C28</f>
        <v>15079069</v>
      </c>
      <c r="D93" s="159">
        <f>C93/C91</f>
        <v>0.12732014981812276</v>
      </c>
      <c r="E93" s="252">
        <f>E91*D93</f>
        <v>10555348.300000001</v>
      </c>
      <c r="F93" s="252">
        <f>F91*D93</f>
        <v>12063255.200000001</v>
      </c>
    </row>
    <row r="94" spans="2:8" ht="13.9" x14ac:dyDescent="0.4">
      <c r="B94" s="104" t="s">
        <v>257</v>
      </c>
      <c r="C94" s="77">
        <f>C29</f>
        <v>3563014</v>
      </c>
      <c r="D94" s="159">
        <f>C94/C91</f>
        <v>3.008431596699165E-2</v>
      </c>
      <c r="E94" s="253"/>
      <c r="F94" s="252">
        <f>F91*D94</f>
        <v>2850411.2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6905560</v>
      </c>
      <c r="D97" s="159">
        <f>C97/C91</f>
        <v>5.8307109926881803E-2</v>
      </c>
      <c r="E97" s="253"/>
      <c r="F97" s="252">
        <f>F91*D97</f>
        <v>5524448</v>
      </c>
    </row>
    <row r="98" spans="2:7" ht="13.9" x14ac:dyDescent="0.4">
      <c r="B98" s="86" t="s">
        <v>207</v>
      </c>
      <c r="C98" s="237">
        <f>C44</f>
        <v>1.49</v>
      </c>
      <c r="D98" s="266"/>
      <c r="E98" s="254">
        <v>0.3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F24" sqref="F2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1171.HK</v>
      </c>
      <c r="D3" s="278"/>
      <c r="E3" s="87"/>
      <c r="F3" s="3" t="s">
        <v>1</v>
      </c>
      <c r="G3" s="132">
        <v>9.52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兗礦能源</v>
      </c>
      <c r="D4" s="280"/>
      <c r="E4" s="87"/>
      <c r="F4" s="3" t="s">
        <v>2</v>
      </c>
      <c r="G4" s="283">
        <f>Inputs!C10</f>
        <v>10039860402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45638</v>
      </c>
      <c r="D5" s="282"/>
      <c r="E5" s="34"/>
      <c r="F5" s="35" t="s">
        <v>99</v>
      </c>
      <c r="G5" s="275">
        <f>G3*G4/1000000</f>
        <v>95579.471027039996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C0017</v>
      </c>
      <c r="E7" s="87"/>
      <c r="F7" s="35" t="s">
        <v>5</v>
      </c>
      <c r="G7" s="133">
        <v>1.0710026423136394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0.12732014981812276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5.8307109926881803E-2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3.008431596699165E-2</v>
      </c>
      <c r="F24" s="140" t="s">
        <v>260</v>
      </c>
      <c r="G24" s="268">
        <f>G3/(Fin_Analysis!H86*G7)</f>
        <v>13.319473692926531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0.74922224366340984</v>
      </c>
    </row>
    <row r="26" spans="1:8" ht="15.75" customHeight="1" x14ac:dyDescent="0.4">
      <c r="B26" s="138" t="s">
        <v>173</v>
      </c>
      <c r="C26" s="171">
        <f>Fin_Analysis!I83</f>
        <v>9.4288424288003866E-2</v>
      </c>
      <c r="F26" s="141" t="s">
        <v>193</v>
      </c>
      <c r="G26" s="178">
        <f>Fin_Analysis!H88*Exchange_Rate/G3</f>
        <v>5.6250138776976863E-2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4.3625043331853739</v>
      </c>
      <c r="D29" s="129">
        <f>G29*(1+G20)</f>
        <v>13.248553112561263</v>
      </c>
      <c r="E29" s="87"/>
      <c r="F29" s="131">
        <f>IF(Fin_Analysis!C108="Profit",Fin_Analysis!F100,IF(Fin_Analysis!C108="Dividend",Fin_Analysis!F103,Fin_Analysis!F106))</f>
        <v>6.3989481245993121</v>
      </c>
      <c r="G29" s="274">
        <f>IF(Fin_Analysis!C108="Profit",Fin_Analysis!I100,IF(Fin_Analysis!C108="Dividend",Fin_Analysis!I103,Fin_Analysis!I106))</f>
        <v>11.520480967444577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25" zoomScaleNormal="100" workbookViewId="0">
      <pane xSplit="2" topLeftCell="C1" activePane="topRight" state="frozen"/>
      <selection activeCell="A4" sqref="A4"/>
      <selection pane="topRight" activeCell="H43" sqref="H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9993442.333333334</v>
      </c>
      <c r="G3" s="85">
        <f>C14</f>
        <v>21930368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>
        <f>(G3/F3)^(1/H3)-1</f>
        <v>0.13995699569776021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118434270</v>
      </c>
      <c r="D6" s="200">
        <f>IF(Inputs!D25="","",Inputs!D25)</f>
        <v>154601505</v>
      </c>
      <c r="E6" s="200">
        <f>IF(Inputs!E25="","",Inputs!E25)</f>
        <v>108615647</v>
      </c>
      <c r="F6" s="200">
        <f>IF(Inputs!F25="","",Inputs!F25)</f>
        <v>69123020</v>
      </c>
      <c r="G6" s="200">
        <f>IF(Inputs!G25="","",Inputs!G25)</f>
        <v>67804644</v>
      </c>
      <c r="H6" s="200">
        <f>IF(Inputs!H25="","",Inputs!H25)</f>
        <v>67447104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-0.23393844063807789</v>
      </c>
      <c r="D7" s="92">
        <f t="shared" si="1"/>
        <v>0.42338152255355999</v>
      </c>
      <c r="E7" s="92">
        <f t="shared" si="1"/>
        <v>0.57133827486125455</v>
      </c>
      <c r="F7" s="92">
        <f t="shared" si="1"/>
        <v>1.9443741936024272E-2</v>
      </c>
      <c r="G7" s="92">
        <f t="shared" si="1"/>
        <v>5.3010430218027871E-3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74519273</v>
      </c>
      <c r="D8" s="199">
        <f>IF(Inputs!D26="","",Inputs!D26)</f>
        <v>80814847</v>
      </c>
      <c r="E8" s="199">
        <f>IF(Inputs!E26="","",Inputs!E26)</f>
        <v>68680488</v>
      </c>
      <c r="F8" s="199">
        <f>IF(Inputs!F26="","",Inputs!F26)</f>
        <v>55030653</v>
      </c>
      <c r="G8" s="199">
        <f>IF(Inputs!G26="","",Inputs!G26)</f>
        <v>46775158</v>
      </c>
      <c r="H8" s="199">
        <f>IF(Inputs!H26="","",Inputs!H26)</f>
        <v>43140566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43914997</v>
      </c>
      <c r="D9" s="151">
        <f t="shared" si="2"/>
        <v>73786658</v>
      </c>
      <c r="E9" s="151">
        <f t="shared" si="2"/>
        <v>39935159</v>
      </c>
      <c r="F9" s="151">
        <f t="shared" si="2"/>
        <v>14092367</v>
      </c>
      <c r="G9" s="151">
        <f t="shared" si="2"/>
        <v>21029486</v>
      </c>
      <c r="H9" s="151">
        <f t="shared" si="2"/>
        <v>24306538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15079069</v>
      </c>
      <c r="D10" s="199">
        <f>IF(Inputs!D27="","",Inputs!D27)</f>
        <v>19718226</v>
      </c>
      <c r="E10" s="199">
        <f>IF(Inputs!E27="","",Inputs!E27)</f>
        <v>15115462</v>
      </c>
      <c r="F10" s="199">
        <f>IF(Inputs!F27="","",Inputs!F27)</f>
        <v>8433320</v>
      </c>
      <c r="G10" s="199">
        <f>IF(Inputs!G27="","",Inputs!G27)</f>
        <v>8777402</v>
      </c>
      <c r="H10" s="199">
        <f>IF(Inputs!H27="","",Inputs!H27)</f>
        <v>10659581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6905560</v>
      </c>
      <c r="D12" s="199">
        <f>IF(Inputs!D30="","",MAX(Inputs!D30,0)/(1-Fin_Analysis!$I$84))</f>
        <v>11577553.333333334</v>
      </c>
      <c r="E12" s="199">
        <f>IF(Inputs!E30="","",MAX(Inputs!E30,0)/(1-Fin_Analysis!$I$84))</f>
        <v>2503686.6666666665</v>
      </c>
      <c r="F12" s="199">
        <f>IF(Inputs!F30="","",MAX(Inputs!F30,0)/(1-Fin_Analysis!$I$84))</f>
        <v>0</v>
      </c>
      <c r="G12" s="199">
        <f>IF(Inputs!G30="","",MAX(Inputs!G30,0)/(1-Fin_Analysis!$I$84))</f>
        <v>3250845.3333333335</v>
      </c>
      <c r="H12" s="199">
        <f>IF(Inputs!H30="","",MAX(Inputs!H30,0)/(1-Fin_Analysis!$I$84))</f>
        <v>3653514.6666666665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0.18516910688097288</v>
      </c>
      <c r="D13" s="229">
        <f t="shared" si="3"/>
        <v>0.274841300326712</v>
      </c>
      <c r="E13" s="229">
        <f t="shared" si="3"/>
        <v>0.20545852231891903</v>
      </c>
      <c r="F13" s="229">
        <f t="shared" si="3"/>
        <v>8.186920941822276E-2</v>
      </c>
      <c r="G13" s="229">
        <f t="shared" si="3"/>
        <v>0.13275253929017997</v>
      </c>
      <c r="H13" s="229">
        <f t="shared" si="3"/>
        <v>0.14816710786178949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21930368</v>
      </c>
      <c r="D14" s="230">
        <f t="shared" ref="D14:M14" si="4">IF(D6="","",D9-D10-MAX(D11,0)-MAX(D12,0))</f>
        <v>42490878.666666664</v>
      </c>
      <c r="E14" s="230">
        <f t="shared" si="4"/>
        <v>22316010.333333332</v>
      </c>
      <c r="F14" s="230">
        <f t="shared" si="4"/>
        <v>5659047</v>
      </c>
      <c r="G14" s="230">
        <f t="shared" si="4"/>
        <v>9001238.666666666</v>
      </c>
      <c r="H14" s="230">
        <f t="shared" si="4"/>
        <v>9993442.333333334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-0.4838805718271959</v>
      </c>
      <c r="D15" s="232">
        <f t="shared" ref="D15:M15" si="5">IF(E14="","",IF(ABS(D14+E14)=ABS(D14)+ABS(E14),IF(D14&lt;0,-1,1)*(D14-E14)/E14,"Turn"))</f>
        <v>0.90405354863983978</v>
      </c>
      <c r="E15" s="232">
        <f t="shared" si="5"/>
        <v>2.9434219813571669</v>
      </c>
      <c r="F15" s="232">
        <f t="shared" si="5"/>
        <v>-0.37130352726269222</v>
      </c>
      <c r="G15" s="232">
        <f t="shared" si="5"/>
        <v>-9.9285474771506108E-2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3563014</v>
      </c>
      <c r="D17" s="199">
        <f>IF(Inputs!D29="","",Inputs!D29)</f>
        <v>5983260</v>
      </c>
      <c r="E17" s="199">
        <f>IF(Inputs!E29="","",Inputs!E29)</f>
        <v>5319334</v>
      </c>
      <c r="F17" s="199">
        <f>IF(Inputs!F29="","",Inputs!F29)</f>
        <v>2867029</v>
      </c>
      <c r="G17" s="199">
        <f>IF(Inputs!G29="","",Inputs!G29)</f>
        <v>2751234</v>
      </c>
      <c r="H17" s="199">
        <f>IF(Inputs!H29="","",Inputs!H29)</f>
        <v>3612394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18367354</v>
      </c>
      <c r="D22" s="161">
        <f t="shared" ref="D22:M22" si="8">IF(D6="","",D14-MAX(D16,0)-MAX(D17,0)-ABS(MAX(D21,0)-MAX(D19,0)))</f>
        <v>36507618.666666664</v>
      </c>
      <c r="E22" s="161">
        <f t="shared" si="8"/>
        <v>16996676.333333332</v>
      </c>
      <c r="F22" s="161">
        <f t="shared" si="8"/>
        <v>2792018</v>
      </c>
      <c r="G22" s="161">
        <f t="shared" si="8"/>
        <v>6250004.666666666</v>
      </c>
      <c r="H22" s="161">
        <f t="shared" si="8"/>
        <v>6381048.333333334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0.11631359318548593</v>
      </c>
      <c r="D23" s="153">
        <f t="shared" si="9"/>
        <v>0.17710509351121775</v>
      </c>
      <c r="E23" s="153">
        <f t="shared" si="9"/>
        <v>0.11736345178701554</v>
      </c>
      <c r="F23" s="153">
        <f t="shared" si="9"/>
        <v>3.029401059155112E-2</v>
      </c>
      <c r="G23" s="153">
        <f t="shared" si="9"/>
        <v>6.9132484494719856E-2</v>
      </c>
      <c r="H23" s="153">
        <f t="shared" si="9"/>
        <v>7.0956141423062433E-2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-0.49688983640090612</v>
      </c>
      <c r="D25" s="233">
        <f t="shared" ref="D25:M25" si="10">IF(E24="","",IF(ABS(D24+E24)=ABS(D24)+ABS(E24),IF(D24&lt;0,-1,1)*(D24-E24)/E24,"Turn"))</f>
        <v>1.1479269211633514</v>
      </c>
      <c r="E25" s="233">
        <f t="shared" si="10"/>
        <v>5.087595543199698</v>
      </c>
      <c r="F25" s="233">
        <f t="shared" si="10"/>
        <v>-0.55327745355283464</v>
      </c>
      <c r="G25" s="233">
        <f t="shared" si="10"/>
        <v>-2.053638521778945E-2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0.62920363337402252</v>
      </c>
      <c r="D42" s="156">
        <f t="shared" si="34"/>
        <v>0.52273001482100712</v>
      </c>
      <c r="E42" s="156">
        <f t="shared" si="34"/>
        <v>0.63232591156962858</v>
      </c>
      <c r="F42" s="156">
        <f t="shared" si="34"/>
        <v>0.79612628325556378</v>
      </c>
      <c r="G42" s="156">
        <f t="shared" si="34"/>
        <v>0.68985183374755277</v>
      </c>
      <c r="H42" s="156">
        <f t="shared" si="34"/>
        <v>0.63962073152911059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0.12732014981812276</v>
      </c>
      <c r="D43" s="153">
        <f t="shared" si="35"/>
        <v>0.12754226422310702</v>
      </c>
      <c r="E43" s="153">
        <f t="shared" si="35"/>
        <v>0.13916468223036041</v>
      </c>
      <c r="F43" s="153">
        <f t="shared" si="35"/>
        <v>0.12200450732621347</v>
      </c>
      <c r="G43" s="153">
        <f t="shared" si="35"/>
        <v>0.12945133964570332</v>
      </c>
      <c r="H43" s="153">
        <f t="shared" si="35"/>
        <v>0.15804356848294035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3.008431596699165E-2</v>
      </c>
      <c r="D45" s="153">
        <f t="shared" si="37"/>
        <v>3.870117564508832E-2</v>
      </c>
      <c r="E45" s="153">
        <f t="shared" si="37"/>
        <v>4.8973919936231652E-2</v>
      </c>
      <c r="F45" s="153">
        <f t="shared" si="37"/>
        <v>4.1477195296154595E-2</v>
      </c>
      <c r="G45" s="153">
        <f t="shared" si="37"/>
        <v>4.0575893297220174E-2</v>
      </c>
      <c r="H45" s="153">
        <f t="shared" si="37"/>
        <v>5.3558919297706245E-2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5.8307109926881803E-2</v>
      </c>
      <c r="D46" s="153">
        <f t="shared" ref="D46:M46" si="38">IF(D6="","",MAX(D12,0)/D6)</f>
        <v>7.4886420629173917E-2</v>
      </c>
      <c r="E46" s="153">
        <f t="shared" si="38"/>
        <v>2.3050883881091888E-2</v>
      </c>
      <c r="F46" s="153">
        <f t="shared" si="38"/>
        <v>0</v>
      </c>
      <c r="G46" s="153">
        <f t="shared" si="38"/>
        <v>4.7944287316563944E-2</v>
      </c>
      <c r="H46" s="153">
        <f t="shared" si="38"/>
        <v>5.4168592126159584E-2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0.15508479091398122</v>
      </c>
      <c r="D48" s="153">
        <f t="shared" si="40"/>
        <v>0.23614012468162365</v>
      </c>
      <c r="E48" s="153">
        <f t="shared" si="40"/>
        <v>0.15648460238268738</v>
      </c>
      <c r="F48" s="153">
        <f t="shared" si="40"/>
        <v>4.0392014122068165E-2</v>
      </c>
      <c r="G48" s="153">
        <f t="shared" si="40"/>
        <v>9.2176645992959799E-2</v>
      </c>
      <c r="H48" s="153">
        <f t="shared" si="40"/>
        <v>9.4608188564083248E-2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0.19398624320084429</v>
      </c>
      <c r="D56" s="153">
        <f t="shared" si="46"/>
        <v>0.16389072249905537</v>
      </c>
      <c r="E56" s="153">
        <f t="shared" si="46"/>
        <v>0.31296318737139767</v>
      </c>
      <c r="F56" s="153">
        <f t="shared" si="46"/>
        <v>1.0268662308051022</v>
      </c>
      <c r="G56" s="153">
        <f t="shared" si="46"/>
        <v>0.44019711131949024</v>
      </c>
      <c r="H56" s="153">
        <f t="shared" si="46"/>
        <v>0.56611293494355286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7" zoomScaleNormal="100" workbookViewId="0">
      <selection activeCell="F93" sqref="F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118434270</v>
      </c>
      <c r="D74" s="209"/>
      <c r="E74" s="238">
        <f>Inputs!E91</f>
        <v>82903989</v>
      </c>
      <c r="F74" s="209"/>
      <c r="H74" s="238">
        <f>Inputs!F91</f>
        <v>94747416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74519273</v>
      </c>
      <c r="D75" s="159">
        <f>C75/$C$74</f>
        <v>0.62920363337402252</v>
      </c>
      <c r="E75" s="238">
        <f>Inputs!E92</f>
        <v>59690872.079999998</v>
      </c>
      <c r="F75" s="160">
        <f>E75/E74</f>
        <v>0.72</v>
      </c>
      <c r="H75" s="238">
        <f>Inputs!F92</f>
        <v>65375717.039999992</v>
      </c>
      <c r="I75" s="160">
        <f>H75/$H$74</f>
        <v>0.69</v>
      </c>
      <c r="K75" s="24"/>
    </row>
    <row r="76" spans="1:11" ht="15" customHeight="1" x14ac:dyDescent="0.4">
      <c r="B76" s="35" t="s">
        <v>95</v>
      </c>
      <c r="C76" s="161">
        <f>C74-C75</f>
        <v>43914997</v>
      </c>
      <c r="D76" s="210"/>
      <c r="E76" s="162">
        <f>E74-E75</f>
        <v>23213116.920000002</v>
      </c>
      <c r="F76" s="210"/>
      <c r="H76" s="162">
        <f>H74-H75</f>
        <v>29371698.960000008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15079069</v>
      </c>
      <c r="D77" s="159">
        <f>C77/$C$74</f>
        <v>0.12732014981812276</v>
      </c>
      <c r="E77" s="238">
        <f>Inputs!E93</f>
        <v>10555348.300000001</v>
      </c>
      <c r="F77" s="160">
        <f>E77/E74</f>
        <v>0.12732014981812276</v>
      </c>
      <c r="H77" s="238">
        <f>Inputs!F93</f>
        <v>12063255.200000001</v>
      </c>
      <c r="I77" s="160">
        <f>H77/$H$74</f>
        <v>0.12732014981812276</v>
      </c>
      <c r="K77" s="24"/>
    </row>
    <row r="78" spans="1:11" ht="15" customHeight="1" x14ac:dyDescent="0.4">
      <c r="B78" s="73" t="s">
        <v>172</v>
      </c>
      <c r="C78" s="77">
        <f>MAX(Data!C12,0)</f>
        <v>6905560</v>
      </c>
      <c r="D78" s="159">
        <f>C78/$C$74</f>
        <v>5.8307109926881803E-2</v>
      </c>
      <c r="E78" s="180">
        <f>E74*F78</f>
        <v>4833892</v>
      </c>
      <c r="F78" s="160">
        <f>I78</f>
        <v>5.8307109926881803E-2</v>
      </c>
      <c r="H78" s="238">
        <f>Inputs!F97</f>
        <v>5524448</v>
      </c>
      <c r="I78" s="160">
        <f>H78/$H$74</f>
        <v>5.8307109926881803E-2</v>
      </c>
      <c r="K78" s="24"/>
    </row>
    <row r="79" spans="1:11" ht="15" customHeight="1" x14ac:dyDescent="0.4">
      <c r="B79" s="256" t="s">
        <v>232</v>
      </c>
      <c r="C79" s="257">
        <f>C76-C77-C78</f>
        <v>21930368</v>
      </c>
      <c r="D79" s="258">
        <f>C79/C74</f>
        <v>0.18516910688097288</v>
      </c>
      <c r="E79" s="259">
        <f>E76-E77-E78</f>
        <v>7823876.620000001</v>
      </c>
      <c r="F79" s="258">
        <f>E79/E74</f>
        <v>9.4372740254995466E-2</v>
      </c>
      <c r="G79" s="260"/>
      <c r="H79" s="259">
        <f>H76-H77-H78</f>
        <v>11783995.760000005</v>
      </c>
      <c r="I79" s="258">
        <f>H79/H74</f>
        <v>0.12437274025499551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3563014</v>
      </c>
      <c r="D81" s="159">
        <f>C81/$C$74</f>
        <v>3.008431596699165E-2</v>
      </c>
      <c r="E81" s="180">
        <f>E74*F81</f>
        <v>2494109.8000000003</v>
      </c>
      <c r="F81" s="160">
        <f>I81</f>
        <v>3.008431596699165E-2</v>
      </c>
      <c r="H81" s="238">
        <f>Inputs!F94</f>
        <v>2850411.2</v>
      </c>
      <c r="I81" s="160">
        <f>H81/$H$74</f>
        <v>3.008431596699165E-2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18367354</v>
      </c>
      <c r="D83" s="164">
        <f>C83/$C$74</f>
        <v>0.15508479091398122</v>
      </c>
      <c r="E83" s="165">
        <f>E79-E81-E82-E80</f>
        <v>5329766.82</v>
      </c>
      <c r="F83" s="164">
        <f>E83/E74</f>
        <v>6.4288424288003812E-2</v>
      </c>
      <c r="H83" s="165">
        <f>H79-H81-H82-H80</f>
        <v>8933584.5600000061</v>
      </c>
      <c r="I83" s="164">
        <f>H83/$H$74</f>
        <v>9.4288424288003866E-2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13775515.5</v>
      </c>
      <c r="D85" s="258">
        <f>C85/$C$74</f>
        <v>0.11631359318548593</v>
      </c>
      <c r="E85" s="264">
        <f>E83*(1-F84)</f>
        <v>3997325.1150000002</v>
      </c>
      <c r="F85" s="258">
        <f>E85/E74</f>
        <v>4.8216318216002856E-2</v>
      </c>
      <c r="G85" s="260"/>
      <c r="H85" s="264">
        <f>H83*(1-I84)</f>
        <v>6700188.4200000046</v>
      </c>
      <c r="I85" s="258">
        <f>H85/$H$74</f>
        <v>7.0716318216002896E-2</v>
      </c>
      <c r="K85" s="24"/>
    </row>
    <row r="86" spans="1:11" ht="15" customHeight="1" x14ac:dyDescent="0.4">
      <c r="B86" s="87" t="s">
        <v>160</v>
      </c>
      <c r="C86" s="167">
        <f>C85*Data!C4/Common_Shares</f>
        <v>1.3720823744975414</v>
      </c>
      <c r="D86" s="209"/>
      <c r="E86" s="168">
        <f>E85*Data!C4/Common_Shares</f>
        <v>0.39814548758105334</v>
      </c>
      <c r="F86" s="209"/>
      <c r="H86" s="168">
        <f>H85*Data!C4/Common_Shares</f>
        <v>0.66735872330110158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0.15435964795786128</v>
      </c>
      <c r="D87" s="209"/>
      <c r="E87" s="262">
        <f>E86*Exchange_Rate/Dashboard!G3</f>
        <v>4.4791477859722734E-2</v>
      </c>
      <c r="F87" s="209"/>
      <c r="H87" s="262">
        <f>H86*Exchange_Rate/Dashboard!G3</f>
        <v>7.5078041599426132E-2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1.49</v>
      </c>
      <c r="D88" s="166">
        <f>C88/C86</f>
        <v>1.0859406313310016</v>
      </c>
      <c r="E88" s="170">
        <f>Inputs!E98</f>
        <v>0.3</v>
      </c>
      <c r="F88" s="166">
        <f>E88/E86</f>
        <v>0.75349340720313163</v>
      </c>
      <c r="H88" s="170">
        <f>Inputs!F98</f>
        <v>0.5</v>
      </c>
      <c r="I88" s="166">
        <f>H88/H86</f>
        <v>0.74922224366340984</v>
      </c>
      <c r="K88" s="24"/>
    </row>
    <row r="89" spans="1:11" ht="15" customHeight="1" x14ac:dyDescent="0.4">
      <c r="B89" s="87" t="s">
        <v>221</v>
      </c>
      <c r="C89" s="261">
        <f>C88*Exchange_Rate/Dashboard!G3</f>
        <v>0.16762541355539104</v>
      </c>
      <c r="D89" s="209"/>
      <c r="E89" s="261">
        <f>E88*Exchange_Rate/Dashboard!G3</f>
        <v>3.3750083266186115E-2</v>
      </c>
      <c r="F89" s="209"/>
      <c r="H89" s="261">
        <f>H88*Exchange_Rate/Dashboard!G3</f>
        <v>5.6250138776976863E-2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8.774554446052294</v>
      </c>
      <c r="H93" s="87" t="s">
        <v>209</v>
      </c>
      <c r="I93" s="144">
        <f>FV(H87,D93,0,-(H86/(C93-D94)))*Exchange_Rate</f>
        <v>16.966586159652643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6.2695188154063981</v>
      </c>
      <c r="H94" s="87" t="s">
        <v>210</v>
      </c>
      <c r="I94" s="144">
        <f>FV(H89,D93,0,-(H88/(C93-D94)))*Exchange_Rate</f>
        <v>11.636947287382617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84690157.272932336</v>
      </c>
      <c r="D97" s="213"/>
      <c r="E97" s="123">
        <f>PV(C94,D93,0,-F93)</f>
        <v>4.3625043331853739</v>
      </c>
      <c r="F97" s="213"/>
      <c r="H97" s="123">
        <f>PV(C94,D93,0,-I93)</f>
        <v>8.4353919160132502</v>
      </c>
      <c r="I97" s="123">
        <f>PV(C93,D93,0,-I93)</f>
        <v>11.520480967444577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84690157.272932336</v>
      </c>
      <c r="D100" s="109">
        <f>MIN(F100*(1-C94),E100)</f>
        <v>4.3625043331853739</v>
      </c>
      <c r="E100" s="109">
        <f>MAX(E97+H98+E99,0)</f>
        <v>4.3625043331853739</v>
      </c>
      <c r="F100" s="109">
        <f>(E100+H100)/2</f>
        <v>6.3989481245993121</v>
      </c>
      <c r="H100" s="109">
        <f>MAX(C100*Data!$C$4/Common_Shares,0)</f>
        <v>8.4353919160132502</v>
      </c>
      <c r="I100" s="109">
        <f>MAX(I97+H98+H99,0)</f>
        <v>11.520480967444577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58086811.729333423</v>
      </c>
      <c r="D103" s="109">
        <f>MIN(F103*(1-C94),E103)</f>
        <v>3.1170588965349548</v>
      </c>
      <c r="E103" s="123">
        <f>PV(C94,D93,0,-F94)</f>
        <v>3.1170588965349548</v>
      </c>
      <c r="F103" s="109">
        <f>(E103+H103)/2</f>
        <v>4.4513391788570669</v>
      </c>
      <c r="H103" s="123">
        <f>PV(C94,D93,0,-I94)</f>
        <v>5.7856194611791798</v>
      </c>
      <c r="I103" s="109">
        <f>PV(C93,D93,0,-I94)</f>
        <v>7.9016030969303674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37546885.34716218</v>
      </c>
      <c r="D106" s="109">
        <f>(D100+D103)/2</f>
        <v>3.7397816148601644</v>
      </c>
      <c r="E106" s="123">
        <f>(E100+E103)/2</f>
        <v>3.7397816148601644</v>
      </c>
      <c r="F106" s="109">
        <f>(F100+F103)/2</f>
        <v>5.4251436517281899</v>
      </c>
      <c r="H106" s="123">
        <f>(H100+H103)/2</f>
        <v>7.1105056885962146</v>
      </c>
      <c r="I106" s="123">
        <f>(I100+I103)/2</f>
        <v>9.7110420321874713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2024-12-12T07:14:53Z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