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E95AA8A0-B85F-4B54-8A10-5FFF6FC72D21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E95" i="4"/>
  <c r="F93" i="4"/>
  <c r="E93" i="4"/>
  <c r="F92" i="4"/>
  <c r="F91" i="4"/>
  <c r="F97" i="4" s="1"/>
  <c r="E91" i="4"/>
  <c r="E92" i="4" s="1"/>
  <c r="D71" i="4"/>
  <c r="D69" i="4"/>
  <c r="D68" i="4"/>
  <c r="D67" i="4"/>
  <c r="D63" i="4"/>
  <c r="D62" i="4"/>
  <c r="D61" i="4"/>
  <c r="D60" i="4"/>
  <c r="D59" i="4"/>
  <c r="D58" i="4"/>
  <c r="D55" i="4"/>
  <c r="D53" i="4"/>
  <c r="D50" i="4"/>
  <c r="D56" i="4" s="1"/>
  <c r="D44" i="4"/>
  <c r="C44" i="4"/>
  <c r="D27" i="4"/>
  <c r="C27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4" i="4" l="1"/>
  <c r="F95" i="4"/>
  <c r="F96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<sst xmlns="http://schemas.openxmlformats.org/spreadsheetml/2006/main" count="390" uniqueCount="267">
  <si>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</si>
  <si>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</si>
  <si>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</si>
  <si>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</si>
  <si>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</si>
  <si>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</si>
  <si>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</si>
  <si>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</si>
  <si>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</si>
  <si>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</si>
  <si>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</si>
  <si>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</si>
  <si>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</si>
  <si>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</si>
  <si>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</si>
  <si>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</si>
  <si>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</si>
  <si>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</si>
  <si>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</si>
  <si>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</si>
  <si>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</si>
  <si>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</si>
  <si>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</si>
  <si>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</si>
  <si>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</si>
  <si>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</si>
  <si>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</si>
  <si>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</si>
  <si>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</si>
  <si>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</si>
  <si>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</si>
  <si>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</si>
  <si>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</si>
  <si>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</si>
  <si>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</si>
  <si>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</si>
  <si>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</si>
  <si>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</si>
  <si>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</si>
  <si>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</si>
  <si>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</si>
  <si>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</si>
  <si>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</si>
  <si>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</si>
  <si>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</si>
  <si>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</si>
  <si>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</si>
  <si>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</si>
  <si>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</si>
  <si>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</si>
  <si>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</si>
  <si>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</si>
  <si>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</si>
  <si>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</si>
  <si>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</si>
  <si>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</si>
  <si>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</si>
  <si>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</si>
  <si>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</si>
  <si>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</si>
  <si>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</si>
  <si>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</si>
  <si>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</si>
  <si>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</si>
  <si>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</si>
  <si>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</si>
  <si>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</si>
  <si>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</si>
  <si>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</si>
  <si>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</si>
  <si>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</si>
  <si>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</si>
  <si>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</si>
  <si>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</si>
  <si>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</si>
  <si>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</si>
  <si>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</si>
  <si>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</si>
  <si>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</si>
  <si>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</si>
  <si>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</si>
  <si>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</si>
  <si>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</si>
  <si>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</si>
  <si>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</si>
  <si>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</si>
  <si>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</si>
  <si>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</si>
  <si>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</si>
  <si>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</si>
  <si>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</si>
  <si>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</si>
  <si>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</si>
  <si>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</si>
  <si>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</si>
  <si>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</si>
  <si>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</si>
  <si>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</si>
  <si>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</si>
  <si>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</si>
  <si>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</si>
  <si>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</si>
  <si>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</si>
  <si>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</si>
  <si>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</si>
  <si>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</si>
  <si>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</si>
  <si>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</si>
  <si>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</si>
  <si>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</si>
  <si>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</si>
  <si>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</si>
  <si>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</si>
  <si>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</si>
  <si>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</si>
  <si>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</si>
  <si>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</si>
  <si>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</si>
  <si>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</si>
  <si>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</si>
  <si>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</si>
  <si>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</si>
  <si>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</si>
  <si>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</si>
  <si>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</si>
  <si>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</si>
  <si>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</si>
  <si>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</si>
  <si>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</si>
  <si>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</si>
  <si>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</si>
  <si>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</si>
  <si>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</si>
  <si>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</si>
  <si>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</si>
  <si>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</si>
  <si>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</si>
  <si>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</si>
  <si>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</si>
  <si>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</si>
  <si>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</si>
  <si>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</si>
  <si>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</si>
  <si>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</si>
  <si>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</si>
  <si>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</si>
  <si>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</si>
  <si>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</si>
  <si>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</si>
  <si>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</si>
  <si>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</si>
  <si>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</si>
  <si>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</si>
  <si>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</si>
  <si>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</si>
  <si>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</si>
  <si>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</si>
  <si>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</si>
  <si>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</si>
  <si>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</si>
  <si>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</si>
  <si>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</si>
  <si>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</si>
  <si>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</si>
  <si>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</si>
  <si>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</si>
  <si>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</si>
  <si>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</si>
  <si>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</si>
  <si>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</si>
  <si>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</si>
  <si>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</si>
  <si>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</si>
  <si>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</si>
  <si>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</si>
  <si>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</si>
  <si>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</si>
  <si>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</si>
  <si>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</si>
  <si>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</si>
  <si>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</si>
  <si>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</si>
  <si>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</si>
  <si>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</si>
  <si>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</si>
  <si>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</si>
  <si>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</si>
  <si>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</si>
  <si>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</si>
  <si>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</si>
  <si>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</si>
  <si>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</si>
  <si>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</si>
  <si>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</si>
  <si>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</si>
  <si>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</si>
  <si>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</si>
  <si>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</si>
  <si>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</si>
  <si>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</si>
  <si>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</si>
  <si>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</si>
  <si>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</si>
  <si>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</si>
  <si>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</si>
  <si>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</si>
  <si>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</si>
  <si>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</si>
  <si>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</si>
  <si>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</si>
  <si>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</si>
  <si>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</si>
  <si>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</si>
  <si>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</si>
  <si>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</si>
  <si>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</si>
  <si>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</si>
  <si>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</si>
  <si>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</si>
  <si>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</si>
  <si>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</si>
  <si>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</si>
  <si>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</si>
  <si>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</si>
  <si>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</si>
  <si>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</si>
  <si>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</si>
  <si>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</si>
  <si>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</si>
  <si>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</si>
  <si>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</si>
  <si>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</si>
  <si>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</si>
  <si>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</si>
  <si>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</si>
  <si>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</si>
  <si>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</si>
  <si>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</si>
  <si>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</si>
  <si>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</si>
  <si>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</si>
  <si>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</si>
  <si>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</si>
  <si>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</si>
  <si>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</si>
  <si>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</si>
  <si>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</si>
  <si>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</si>
  <si>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</si>
  <si>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</si>
  <si>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</si>
  <si>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</si>
  <si>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</si>
  <si>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</si>
  <si>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</si>
  <si>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</si>
  <si>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</si>
  <si>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</si>
  <si>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</si>
  <si>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</si>
  <si>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</si>
  <si>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0322.HK</t>
  </si>
  <si>
    <t>康师傅控股</t>
  </si>
  <si>
    <t>C0002</t>
  </si>
  <si>
    <t>CNY</t>
  </si>
  <si>
    <t>CN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</si>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</sst>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0.69575137181535374</c:v>
                </c:pt>
                <c:pt idx="1">
                  <c:v>0.25490688505040687</c:v>
                </c:pt>
                <c:pt idx="2">
                  <c:v>6.6188436699916855E-3</c:v>
                </c:pt>
                <c:pt idx="3">
                  <c:v>0</c:v>
                </c:pt>
                <c:pt idx="4">
                  <c:v>6.4552900576145354E-3</c:v>
                </c:pt>
                <c:pt idx="5">
                  <c:v>0</c:v>
                </c:pt>
                <c:pt idx="6">
                  <c:v>3.6267609406633192E-2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9" t="s">
        <v>261</v>
      </c>
    </row>
    <row r="5" spans="1:5" ht="13.9" x14ac:dyDescent="0.4">
      <c r="B5" s="141" t="s">
        <v>195</v>
      </c>
      <c r="C5" s="192" t="s">
        <v>262</v>
      </c>
    </row>
    <row r="6" spans="1:5" ht="13.9" x14ac:dyDescent="0.4">
      <c r="B6" s="141" t="s">
        <v>163</v>
      </c>
      <c r="C6" s="190">
        <v>45624</v>
      </c>
    </row>
    <row r="7" spans="1:5" ht="13.9" x14ac:dyDescent="0.4">
      <c r="B7" s="140" t="s">
        <v>3</v>
      </c>
      <c r="C7" s="191">
        <v>8</v>
      </c>
    </row>
    <row r="8" spans="1:5" ht="13.9" x14ac:dyDescent="0.4">
      <c r="B8" s="140" t="s">
        <v>215</v>
      </c>
      <c r="C8" s="192" t="s">
        <v>70</v>
      </c>
      <c r="E8" s="268"/>
    </row>
    <row r="9" spans="1:5" ht="13.9" x14ac:dyDescent="0.4">
      <c r="B9" s="140" t="s">
        <v>216</v>
      </c>
      <c r="C9" s="193" t="s">
        <v>263</v>
      </c>
    </row>
    <row r="10" spans="1:5" ht="13.9" x14ac:dyDescent="0.4">
      <c r="B10" s="140" t="s">
        <v>217</v>
      </c>
      <c r="C10" s="194">
        <v>5634436360</v>
      </c>
    </row>
    <row r="11" spans="1:5" ht="13.9" x14ac:dyDescent="0.4">
      <c r="B11" s="140" t="s">
        <v>218</v>
      </c>
      <c r="C11" s="193" t="s">
        <v>264</v>
      </c>
    </row>
    <row r="12" spans="1:5" ht="13.9" x14ac:dyDescent="0.4">
      <c r="B12" s="219" t="s">
        <v>9</v>
      </c>
      <c r="C12" s="220">
        <v>45291</v>
      </c>
    </row>
    <row r="13" spans="1:5" ht="13.9" x14ac:dyDescent="0.4">
      <c r="B13" s="219" t="s">
        <v>10</v>
      </c>
      <c r="C13" s="221">
        <v>1000</v>
      </c>
    </row>
    <row r="14" spans="1:5" ht="13.9" x14ac:dyDescent="0.4">
      <c r="B14" s="219" t="s">
        <v>219</v>
      </c>
      <c r="C14" s="220">
        <v>45473</v>
      </c>
    </row>
    <row r="15" spans="1:5" ht="13.9" x14ac:dyDescent="0.4">
      <c r="B15" s="219" t="s">
        <v>256</v>
      </c>
      <c r="C15" s="177" t="s">
        <v>265</v>
      </c>
    </row>
    <row r="16" spans="1:5" ht="13.9" x14ac:dyDescent="0.4">
      <c r="B16" s="223" t="s">
        <v>96</v>
      </c>
      <c r="C16" s="224">
        <v>0.25</v>
      </c>
      <c r="D16" s="24"/>
    </row>
    <row r="17" spans="2:13" ht="13.9" x14ac:dyDescent="0.4">
      <c r="B17" s="241" t="s">
        <v>224</v>
      </c>
      <c r="C17" s="243" t="s">
        <v>245</v>
      </c>
      <c r="D17" s="24"/>
    </row>
    <row r="18" spans="2:13" ht="13.9" x14ac:dyDescent="0.4">
      <c r="B18" s="241" t="s">
        <v>238</v>
      </c>
      <c r="C18" s="243" t="s">
        <v>245</v>
      </c>
      <c r="D18" s="24"/>
    </row>
    <row r="19" spans="2:13" ht="13.9" x14ac:dyDescent="0.4">
      <c r="B19" s="241" t="s">
        <v>239</v>
      </c>
      <c r="C19" s="243" t="s">
        <v>245</v>
      </c>
      <c r="D19" s="24"/>
    </row>
    <row r="20" spans="2:13" ht="13.9" x14ac:dyDescent="0.4">
      <c r="B20" s="242" t="s">
        <v>228</v>
      </c>
      <c r="C20" s="243" t="s">
        <v>245</v>
      </c>
      <c r="D20" s="24"/>
    </row>
    <row r="21" spans="2:13" ht="13.9" x14ac:dyDescent="0.4">
      <c r="B21" s="225" t="s">
        <v>231</v>
      </c>
      <c r="C21" s="243" t="s">
        <v>245</v>
      </c>
      <c r="D21" s="24"/>
    </row>
    <row r="22" spans="2:13" ht="78.75" x14ac:dyDescent="0.4">
      <c r="B22" s="227" t="s">
        <v>230</v>
      </c>
      <c r="C22" s="244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50">
        <v>80418075</v>
      </c>
      <c r="D25" s="150">
        <v>78717420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105</v>
      </c>
      <c r="C26" s="151">
        <v>55950986</v>
      </c>
      <c r="D26" s="151">
        <v>55818003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103</v>
      </c>
      <c r="C27" s="151">
        <f>17883440+2615681</f>
        <v>20499121</v>
      </c>
      <c r="D27" s="151">
        <f>16809780+2396714</f>
        <v>19206494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106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257</v>
      </c>
      <c r="C29" s="151">
        <v>519122</v>
      </c>
      <c r="D29" s="151">
        <v>446021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110</v>
      </c>
      <c r="C30" s="151">
        <v>399206</v>
      </c>
      <c r="D30" s="151">
        <v>443522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109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104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107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14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116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148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15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115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16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17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137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138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136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207</v>
      </c>
      <c r="C44" s="251">
        <f>0.2766+0.2766</f>
        <v>0.55320000000000003</v>
      </c>
      <c r="D44" s="251">
        <f>0.2336+0.2336</f>
        <v>0.4672</v>
      </c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253</v>
      </c>
      <c r="C45" s="153">
        <f>IF(C44="","",C44*Exchange_Rate/Dashboard!$G$3)</f>
        <v>5.9088905456056641E-2</v>
      </c>
      <c r="D45" s="153">
        <f>IF(D44="","",D44*Exchange_Rate/Dashboard!$G$3)</f>
        <v>4.9902994629554706E-2</v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249</v>
      </c>
      <c r="C47" s="195" t="s">
        <v>33</v>
      </c>
      <c r="D47" s="195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2" t="s">
        <v>70</v>
      </c>
    </row>
    <row r="57" spans="2:5" ht="13.9" x14ac:dyDescent="0.4">
      <c r="B57" s="3" t="s">
        <v>119</v>
      </c>
      <c r="C57" s="59"/>
      <c r="D57" s="60">
        <v>0.6</v>
      </c>
      <c r="E57" s="222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6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2" t="s">
        <v>70</v>
      </c>
    </row>
    <row r="66" spans="2:5" ht="13.9" x14ac:dyDescent="0.4">
      <c r="B66" s="3" t="s">
        <v>71</v>
      </c>
      <c r="C66" s="59"/>
      <c r="D66" s="60">
        <v>0.2</v>
      </c>
      <c r="E66" s="222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2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7" t="s">
        <v>75</v>
      </c>
      <c r="C72" s="248"/>
      <c r="D72" s="249">
        <v>0</v>
      </c>
      <c r="E72" s="250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8">
        <v>5</v>
      </c>
    </row>
    <row r="87" spans="2:8" ht="13.9" x14ac:dyDescent="0.4">
      <c r="B87" s="10" t="s">
        <v>248</v>
      </c>
      <c r="C87" s="237" t="s">
        <v>251</v>
      </c>
    </row>
    <row r="89" spans="2:8" ht="13.5" x14ac:dyDescent="0.35">
      <c r="B89" s="106" t="s">
        <v>127</v>
      </c>
      <c r="C89" s="270">
        <f>C24</f>
        <v>45291</v>
      </c>
      <c r="D89" s="270"/>
      <c r="E89" s="89" t="s">
        <v>206</v>
      </c>
      <c r="F89" s="50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1" t="s">
        <v>100</v>
      </c>
      <c r="D90" s="271"/>
      <c r="E90" s="236" t="s">
        <v>101</v>
      </c>
      <c r="F90" s="256" t="s">
        <v>101</v>
      </c>
    </row>
    <row r="91" spans="2:8" ht="13.9" x14ac:dyDescent="0.4">
      <c r="B91" s="3" t="s">
        <v>126</v>
      </c>
      <c r="C91" s="77">
        <f>C25</f>
        <v>80418075</v>
      </c>
      <c r="D91" s="210"/>
      <c r="E91" s="252">
        <f>C91</f>
        <v>80418075</v>
      </c>
      <c r="F91" s="252">
        <f>C91</f>
        <v>80418075</v>
      </c>
    </row>
    <row r="92" spans="2:8" ht="13.9" x14ac:dyDescent="0.4">
      <c r="B92" s="104" t="s">
        <v>105</v>
      </c>
      <c r="C92" s="77">
        <f>C26</f>
        <v>55950986</v>
      </c>
      <c r="D92" s="160">
        <f>C92/C91</f>
        <v>0.69575137181535374</v>
      </c>
      <c r="E92" s="253">
        <f>E91*D92</f>
        <v>55950986</v>
      </c>
      <c r="F92" s="253">
        <f>F91*D92</f>
        <v>55950986</v>
      </c>
    </row>
    <row r="93" spans="2:8" ht="13.9" x14ac:dyDescent="0.4">
      <c r="B93" s="104" t="s">
        <v>247</v>
      </c>
      <c r="C93" s="77">
        <f>C27+C28</f>
        <v>20499121</v>
      </c>
      <c r="D93" s="160">
        <f>C93/C91</f>
        <v>0.25490688505040687</v>
      </c>
      <c r="E93" s="253">
        <f>E91*D93</f>
        <v>20499121</v>
      </c>
      <c r="F93" s="253">
        <f>F91*D93</f>
        <v>20499121</v>
      </c>
    </row>
    <row r="94" spans="2:8" ht="13.9" x14ac:dyDescent="0.4">
      <c r="B94" s="104" t="s">
        <v>257</v>
      </c>
      <c r="C94" s="77">
        <f>C29</f>
        <v>519122</v>
      </c>
      <c r="D94" s="160">
        <f>C94/C91</f>
        <v>6.4552900576145354E-3</v>
      </c>
      <c r="E94" s="254"/>
      <c r="F94" s="253">
        <f>F91*D94</f>
        <v>519122</v>
      </c>
    </row>
    <row r="95" spans="2:8" ht="13.9" x14ac:dyDescent="0.4">
      <c r="B95" s="28" t="s">
        <v>246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172</v>
      </c>
      <c r="C97" s="77">
        <f>MAX(C30,0)/(1-C16)</f>
        <v>532274.66666666663</v>
      </c>
      <c r="D97" s="160">
        <f>C97/C91</f>
        <v>6.6188436699916855E-3</v>
      </c>
      <c r="E97" s="254"/>
      <c r="F97" s="253">
        <f>F91*D97</f>
        <v>532274.66666666663</v>
      </c>
    </row>
    <row r="98" spans="2:7" ht="13.9" x14ac:dyDescent="0.4">
      <c r="B98" s="86" t="s">
        <v>207</v>
      </c>
      <c r="C98" s="238">
        <f>C44</f>
        <v>0.55320000000000003</v>
      </c>
      <c r="D98" s="267"/>
      <c r="E98" s="255">
        <f>F98</f>
        <v>0.27660000000000001</v>
      </c>
      <c r="F98" s="255">
        <v>0.27660000000000001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0322.HK : 康师傅控股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6" t="str">
        <f>Inputs!C4</f>
        <v>0322.HK</v>
      </c>
      <c r="D3" s="277"/>
      <c r="E3" s="87"/>
      <c r="F3" s="3" t="s">
        <v>1</v>
      </c>
      <c r="G3" s="132">
        <v>10.039999999999999</v>
      </c>
      <c r="H3" s="134" t="s">
        <v>266</v>
      </c>
    </row>
    <row r="4" spans="1:10" ht="15.75" customHeight="1" x14ac:dyDescent="0.4">
      <c r="B4" s="35" t="s">
        <v>195</v>
      </c>
      <c r="C4" s="278" t="str">
        <f>Inputs!C5</f>
        <v>康师傅控股</v>
      </c>
      <c r="D4" s="279"/>
      <c r="E4" s="87"/>
      <c r="F4" s="3" t="s">
        <v>2</v>
      </c>
      <c r="G4" s="282">
        <f>Inputs!C10</f>
        <v>5634436360</v>
      </c>
      <c r="H4" s="282"/>
      <c r="I4" s="39"/>
    </row>
    <row r="5" spans="1:10" ht="15.75" customHeight="1" x14ac:dyDescent="0.4">
      <c r="B5" s="3" t="s">
        <v>163</v>
      </c>
      <c r="C5" s="280">
        <f>Inputs!C6</f>
        <v>45624</v>
      </c>
      <c r="D5" s="281"/>
      <c r="E5" s="34"/>
      <c r="F5" s="35" t="s">
        <v>99</v>
      </c>
      <c r="G5" s="274">
        <f>G3*G4/1000000</f>
        <v>56569.741054399994</v>
      </c>
      <c r="H5" s="274"/>
      <c r="I5" s="38"/>
      <c r="J5" s="28"/>
    </row>
    <row r="6" spans="1:10" ht="15.75" customHeight="1" x14ac:dyDescent="0.4">
      <c r="B6" s="87" t="s">
        <v>3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5" t="str">
        <f>Inputs!C11</f>
        <v>CNY</v>
      </c>
      <c r="H6" s="275"/>
      <c r="I6" s="38"/>
    </row>
    <row r="7" spans="1:10" ht="15.75" customHeight="1" x14ac:dyDescent="0.4">
      <c r="B7" s="86" t="s">
        <v>192</v>
      </c>
      <c r="C7" s="188" t="str">
        <f>Inputs!C8</f>
        <v>N</v>
      </c>
      <c r="D7" s="188" t="str">
        <f>Inputs!C9</f>
        <v>C0002</v>
      </c>
      <c r="E7" s="87"/>
      <c r="F7" s="35" t="s">
        <v>5</v>
      </c>
      <c r="G7" s="133">
        <v>1.0724016825358074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3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4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3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3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4">
        <v>0.16</v>
      </c>
      <c r="D16" s="266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2">
        <f>Fin_Analysis!I75</f>
        <v>0.69575137181535374</v>
      </c>
      <c r="F20" s="87" t="s">
        <v>211</v>
      </c>
      <c r="G20" s="173">
        <v>0.15</v>
      </c>
    </row>
    <row r="21" spans="1:8" ht="15.75" customHeight="1" x14ac:dyDescent="0.4">
      <c r="B21" s="137" t="s">
        <v>244</v>
      </c>
      <c r="C21" s="172">
        <f>Fin_Analysis!I77</f>
        <v>0.25490688505040687</v>
      </c>
      <c r="F21" s="87"/>
      <c r="G21" s="29"/>
    </row>
    <row r="22" spans="1:8" ht="15.75" customHeight="1" x14ac:dyDescent="0.4">
      <c r="B22" s="137" t="s">
        <v>191</v>
      </c>
      <c r="C22" s="172">
        <f>Fin_Analysis!I78</f>
        <v>6.6188436699916855E-3</v>
      </c>
      <c r="F22" s="142" t="s">
        <v>184</v>
      </c>
    </row>
    <row r="23" spans="1:8" ht="15.75" customHeight="1" x14ac:dyDescent="0.4">
      <c r="B23" s="137" t="s">
        <v>171</v>
      </c>
      <c r="C23" s="172">
        <f>Fin_Analysis!I80</f>
        <v>0</v>
      </c>
      <c r="F23" s="140" t="s">
        <v>188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2">
        <f>Fin_Analysis!I81</f>
        <v>6.4552900576145354E-3</v>
      </c>
      <c r="F24" s="140" t="s">
        <v>260</v>
      </c>
      <c r="G24" s="269">
        <f>G3/(Fin_Analysis!H86*G7)</f>
        <v>24.115309374839001</v>
      </c>
    </row>
    <row r="25" spans="1:8" ht="15.75" customHeight="1" x14ac:dyDescent="0.4">
      <c r="B25" s="137" t="s">
        <v>243</v>
      </c>
      <c r="C25" s="172">
        <f>Fin_Analysis!I82</f>
        <v>0</v>
      </c>
      <c r="F25" s="140" t="s">
        <v>174</v>
      </c>
      <c r="G25" s="172">
        <f>Fin_Analysis!I88</f>
        <v>0.71247361784670915</v>
      </c>
    </row>
    <row r="26" spans="1:8" ht="15.75" customHeight="1" x14ac:dyDescent="0.4">
      <c r="B26" s="138" t="s">
        <v>173</v>
      </c>
      <c r="C26" s="172">
        <f>Fin_Analysis!I83</f>
        <v>3.6267609406633192E-2</v>
      </c>
      <c r="F26" s="141" t="s">
        <v>193</v>
      </c>
      <c r="G26" s="179">
        <f>Fin_Analysis!H88*Exchange_Rate/G3</f>
        <v>2.954445272802832E-2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2" t="s">
        <v>258</v>
      </c>
      <c r="H28" s="272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2.9941018834573772</v>
      </c>
      <c r="D29" s="129">
        <f>G29*(1+G20)</f>
        <v>5.7552045533767053</v>
      </c>
      <c r="E29" s="87"/>
      <c r="F29" s="131">
        <f>IF(Fin_Analysis!C108="Profit",Fin_Analysis!F100,IF(Fin_Analysis!C108="Dividend",Fin_Analysis!F103,Fin_Analysis!F106))</f>
        <v>3.5224728040675024</v>
      </c>
      <c r="G29" s="273">
        <f>IF(Fin_Analysis!C108="Profit",Fin_Analysis!I100,IF(Fin_Analysis!C108="Dividend",Fin_Analysis!I103,Fin_Analysis!I106))</f>
        <v>5.0045256985884397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7" t="s">
        <v>223</v>
      </c>
      <c r="C32" s="225"/>
    </row>
    <row r="33" spans="1:3" ht="15.75" customHeight="1" x14ac:dyDescent="0.4">
      <c r="A33"/>
      <c r="B33" s="20" t="s">
        <v>224</v>
      </c>
      <c r="C33" s="246" t="str">
        <f>Inputs!C17</f>
        <v>unclear</v>
      </c>
    </row>
    <row r="34" spans="1:3" ht="15.75" customHeight="1" x14ac:dyDescent="0.4">
      <c r="A34"/>
      <c r="B34" s="19" t="s">
        <v>225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226</v>
      </c>
      <c r="C35" s="225"/>
    </row>
    <row r="36" spans="1:3" ht="15.75" customHeight="1" x14ac:dyDescent="0.4">
      <c r="A36"/>
      <c r="B36" s="20" t="s">
        <v>238</v>
      </c>
      <c r="C36" s="246" t="str">
        <f>Inputs!C18</f>
        <v>unclear</v>
      </c>
    </row>
    <row r="37" spans="1:3" ht="15.75" customHeight="1" x14ac:dyDescent="0.4">
      <c r="A37"/>
      <c r="B37" s="20" t="s">
        <v>239</v>
      </c>
      <c r="C37" s="246" t="str">
        <f>Inputs!C19</f>
        <v>unclear</v>
      </c>
    </row>
    <row r="38" spans="1:3" ht="15.75" customHeight="1" x14ac:dyDescent="0.4">
      <c r="A38"/>
      <c r="B38" s="197" t="s">
        <v>227</v>
      </c>
      <c r="C38" s="225"/>
    </row>
    <row r="39" spans="1:3" ht="15.75" customHeight="1" x14ac:dyDescent="0.4">
      <c r="A39"/>
      <c r="B39" s="19" t="s">
        <v>228</v>
      </c>
      <c r="C39" s="246" t="str">
        <f>Inputs!C20</f>
        <v>unclear</v>
      </c>
    </row>
    <row r="40" spans="1:3" ht="15.75" customHeight="1" x14ac:dyDescent="0.4">
      <c r="A40"/>
      <c r="B40" s="1" t="s">
        <v>231</v>
      </c>
      <c r="C40" s="246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7" t="s">
        <v>230</v>
      </c>
      <c r="C43" s="245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9" t="s">
        <v>199</v>
      </c>
      <c r="F2" s="119" t="s">
        <v>202</v>
      </c>
      <c r="G2" s="149" t="s">
        <v>203</v>
      </c>
      <c r="H2" s="148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2">
        <f>Inputs!C12</f>
        <v>45291</v>
      </c>
      <c r="E3" s="147" t="s">
        <v>200</v>
      </c>
      <c r="F3" s="85" t="str">
        <f>H14</f>
        <v/>
      </c>
      <c r="G3" s="85">
        <f>C14</f>
        <v>3435693.3333333335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7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1">
        <f>IF(Inputs!C25=""," ",Inputs!C25)</f>
        <v>80418075</v>
      </c>
      <c r="D6" s="201">
        <f>IF(Inputs!D25="","",Inputs!D25)</f>
        <v>78717420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2.1604557161553295E-2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200">
        <f>IF(Inputs!C26="","",Inputs!C26)</f>
        <v>55950986</v>
      </c>
      <c r="D8" s="200">
        <f>IF(Inputs!D26="","",Inputs!D26)</f>
        <v>55818003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2">
        <f t="shared" ref="C9:M9" si="2">IF(C6="","",(C6-C8))</f>
        <v>24467089</v>
      </c>
      <c r="D9" s="152">
        <f t="shared" si="2"/>
        <v>22899417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200">
        <f>IF(Inputs!C27="","",Inputs!C27)</f>
        <v>20499121</v>
      </c>
      <c r="D10" s="200">
        <f>IF(Inputs!D27="","",Inputs!D27)</f>
        <v>19206494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200">
        <f>IF(Inputs!C30="","",MAX(Inputs!C30,0)/(1-Fin_Analysis!$I$84))</f>
        <v>532274.66666666663</v>
      </c>
      <c r="D12" s="200">
        <f>IF(Inputs!D30="","",MAX(Inputs!D30,0)/(1-Fin_Analysis!$I$84))</f>
        <v>591362.66666666663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241</v>
      </c>
      <c r="C13" s="230">
        <f t="shared" ref="C13:M13" si="3">IF(C14="","",C14/C6)</f>
        <v>4.2722899464247725E-2</v>
      </c>
      <c r="D13" s="230">
        <f t="shared" si="3"/>
        <v>3.9401193958507955E-2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233</v>
      </c>
      <c r="C14" s="231">
        <f>IF(C6="","",C9-C10-MAX(C11,0)-MAX(C12,0))</f>
        <v>3435693.3333333335</v>
      </c>
      <c r="D14" s="231">
        <f t="shared" ref="D14:M14" si="4">IF(D6="","",D9-D10-MAX(D11,0)-MAX(D12,0))</f>
        <v>3101560.3333333335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242</v>
      </c>
      <c r="C15" s="233">
        <f>IF(D14="","",IF(ABS(C14+D14)=ABS(C14)+ABS(D14),IF(C14&lt;0,-1,1)*(C14-D14)/D14,"Turn"))</f>
        <v>0.1077306143004795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200">
        <f>IF(Inputs!C29="","",Inputs!C29)</f>
        <v>519122</v>
      </c>
      <c r="D17" s="200">
        <f>IF(Inputs!D29="","",Inputs!D29)</f>
        <v>446021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2">
        <f>IF(C6="","",C14-MAX(C16,0)-MAX(C17,0)-ABS(MAX(C21,0)-MAX(C19,0)))</f>
        <v>2916571.3333333335</v>
      </c>
      <c r="D22" s="162">
        <f t="shared" ref="D22:M22" si="8">IF(D6="","",D14-MAX(D16,0)-MAX(D17,0)-ABS(MAX(D21,0)-MAX(D19,0)))</f>
        <v>2655539.3333333335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4">
        <f t="shared" ref="C23:M23" si="9">IF(C6="","",C24/C6)</f>
        <v>2.7200707054974894E-2</v>
      </c>
      <c r="D23" s="154">
        <f t="shared" si="9"/>
        <v>2.5301318310483246E-2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5">
        <f>IF(C6="","",C22*(1-Fin_Analysis!$I$84))</f>
        <v>2187428.5</v>
      </c>
      <c r="D24" s="77">
        <f>IF(D6="","",D22*(1-Fin_Analysis!$I$84))</f>
        <v>1991654.5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128</v>
      </c>
      <c r="C25" s="234">
        <f>IF(D24="","",IF(ABS(C24+D24)=ABS(C24)+ABS(D24),IF(C24&lt;0,-1,1)*(C24-D24)/D24,"Turn"))</f>
        <v>9.8297169514089913E-2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7">
        <f t="shared" ref="C42:M42" si="34">IF(C6="","",C8/C6)</f>
        <v>0.69575137181535374</v>
      </c>
      <c r="D42" s="157">
        <f t="shared" si="34"/>
        <v>0.70909340016479194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4">
        <f t="shared" ref="C43:M43" si="35">IF(C6="","",(C10+MAX(C11,0))/C6)</f>
        <v>0.25490688505040687</v>
      </c>
      <c r="D43" s="154">
        <f t="shared" si="35"/>
        <v>0.24399293066261571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4">
        <f t="shared" ref="C45:M45" si="37">IF(C6="","",MAX(C17,0)/C6)</f>
        <v>6.4552900576145354E-3</v>
      </c>
      <c r="D45" s="154">
        <f t="shared" si="37"/>
        <v>5.6661028778636291E-3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4">
        <f>IF(C6="","",MAX(C12,0)/C6)</f>
        <v>6.6188436699916855E-3</v>
      </c>
      <c r="D46" s="154">
        <f t="shared" ref="D46:M46" si="38">IF(D6="","",MAX(D12,0)/D6)</f>
        <v>7.5124752140843364E-3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4">
        <f t="shared" ref="C48:M48" si="40">IF(C6="","",C22/C6)</f>
        <v>3.6267609406633192E-2</v>
      </c>
      <c r="D48" s="154">
        <f t="shared" si="40"/>
        <v>3.3735091080644326E-2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120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122</v>
      </c>
      <c r="C55" s="154">
        <f t="shared" ref="C55:M55" si="45">IF(C22="","",IF(MAX(C17,0)&lt;=0,"-",C17/C22))</f>
        <v>0.17799050346102741</v>
      </c>
      <c r="D55" s="154">
        <f t="shared" si="45"/>
        <v>0.16795872476877891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20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5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42</v>
      </c>
      <c r="I14" s="206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6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8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2">
        <f>Inputs!C84</f>
        <v>0</v>
      </c>
      <c r="E57" s="281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0">
        <f>Data!C5</f>
        <v>45291</v>
      </c>
      <c r="D72" s="270"/>
      <c r="E72" s="284" t="s">
        <v>206</v>
      </c>
      <c r="F72" s="284"/>
      <c r="H72" s="284" t="s">
        <v>205</v>
      </c>
      <c r="I72" s="284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1" t="s">
        <v>100</v>
      </c>
      <c r="D73" s="271"/>
      <c r="E73" s="285" t="s">
        <v>101</v>
      </c>
      <c r="F73" s="271"/>
      <c r="H73" s="285" t="s">
        <v>101</v>
      </c>
      <c r="I73" s="271"/>
      <c r="K73" s="24"/>
    </row>
    <row r="74" spans="1:11" ht="15" customHeight="1" x14ac:dyDescent="0.4">
      <c r="B74" s="3" t="s">
        <v>126</v>
      </c>
      <c r="C74" s="77">
        <f>Data!C6</f>
        <v>80418075</v>
      </c>
      <c r="D74" s="210"/>
      <c r="E74" s="239">
        <f>Inputs!E91</f>
        <v>80418075</v>
      </c>
      <c r="F74" s="210"/>
      <c r="H74" s="239">
        <f>Inputs!F91</f>
        <v>80418075</v>
      </c>
      <c r="I74" s="210"/>
      <c r="K74" s="24"/>
    </row>
    <row r="75" spans="1:11" ht="15" customHeight="1" x14ac:dyDescent="0.4">
      <c r="B75" s="104" t="s">
        <v>105</v>
      </c>
      <c r="C75" s="77">
        <f>Data!C8</f>
        <v>55950986</v>
      </c>
      <c r="D75" s="160">
        <f>C75/$C$74</f>
        <v>0.69575137181535374</v>
      </c>
      <c r="E75" s="239">
        <f>Inputs!E92</f>
        <v>55950986</v>
      </c>
      <c r="F75" s="161">
        <f>E75/E74</f>
        <v>0.69575137181535374</v>
      </c>
      <c r="H75" s="239">
        <f>Inputs!F92</f>
        <v>55950986</v>
      </c>
      <c r="I75" s="161">
        <f>H75/$H$74</f>
        <v>0.69575137181535374</v>
      </c>
      <c r="K75" s="24"/>
    </row>
    <row r="76" spans="1:11" ht="15" customHeight="1" x14ac:dyDescent="0.4">
      <c r="B76" s="35" t="s">
        <v>95</v>
      </c>
      <c r="C76" s="162">
        <f>C74-C75</f>
        <v>24467089</v>
      </c>
      <c r="D76" s="211"/>
      <c r="E76" s="163">
        <f>E74-E75</f>
        <v>24467089</v>
      </c>
      <c r="F76" s="211"/>
      <c r="H76" s="163">
        <f>H74-H75</f>
        <v>24467089</v>
      </c>
      <c r="I76" s="211"/>
      <c r="K76" s="24"/>
    </row>
    <row r="77" spans="1:11" ht="15" customHeight="1" x14ac:dyDescent="0.4">
      <c r="B77" s="104" t="s">
        <v>247</v>
      </c>
      <c r="C77" s="77">
        <f>Data!C10+MAX(Data!C11,0)</f>
        <v>20499121</v>
      </c>
      <c r="D77" s="160">
        <f>C77/$C$74</f>
        <v>0.25490688505040687</v>
      </c>
      <c r="E77" s="239">
        <f>Inputs!E93</f>
        <v>20499121</v>
      </c>
      <c r="F77" s="161">
        <f>E77/E74</f>
        <v>0.25490688505040687</v>
      </c>
      <c r="H77" s="239">
        <f>Inputs!F93</f>
        <v>20499121</v>
      </c>
      <c r="I77" s="161">
        <f>H77/$H$74</f>
        <v>0.25490688505040687</v>
      </c>
      <c r="K77" s="24"/>
    </row>
    <row r="78" spans="1:11" ht="15" customHeight="1" x14ac:dyDescent="0.4">
      <c r="B78" s="73" t="s">
        <v>172</v>
      </c>
      <c r="C78" s="77">
        <f>MAX(Data!C12,0)</f>
        <v>532274.66666666663</v>
      </c>
      <c r="D78" s="160">
        <f>C78/$C$74</f>
        <v>6.6188436699916855E-3</v>
      </c>
      <c r="E78" s="181">
        <f>E74*F78</f>
        <v>532274.66666666663</v>
      </c>
      <c r="F78" s="161">
        <f>I78</f>
        <v>6.6188436699916855E-3</v>
      </c>
      <c r="H78" s="239">
        <f>Inputs!F97</f>
        <v>532274.66666666663</v>
      </c>
      <c r="I78" s="161">
        <f>H78/$H$74</f>
        <v>6.6188436699916855E-3</v>
      </c>
      <c r="K78" s="24"/>
    </row>
    <row r="79" spans="1:11" ht="15" customHeight="1" x14ac:dyDescent="0.4">
      <c r="B79" s="257" t="s">
        <v>232</v>
      </c>
      <c r="C79" s="258">
        <f>C76-C77-C78</f>
        <v>3435693.3333333335</v>
      </c>
      <c r="D79" s="259">
        <f>C79/C74</f>
        <v>4.2722899464247725E-2</v>
      </c>
      <c r="E79" s="260">
        <f>E76-E77-E78</f>
        <v>3435693.3333333335</v>
      </c>
      <c r="F79" s="259">
        <f>E79/E74</f>
        <v>4.2722899464247725E-2</v>
      </c>
      <c r="G79" s="261"/>
      <c r="H79" s="260">
        <f>H76-H77-H78</f>
        <v>3435693.3333333335</v>
      </c>
      <c r="I79" s="259">
        <f>H79/H74</f>
        <v>4.2722899464247725E-2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131</v>
      </c>
    </row>
    <row r="81" spans="1:11" ht="15" customHeight="1" x14ac:dyDescent="0.4">
      <c r="B81" s="104" t="s">
        <v>257</v>
      </c>
      <c r="C81" s="77">
        <f>MAX(Data!C17,0)</f>
        <v>519122</v>
      </c>
      <c r="D81" s="160">
        <f>C81/$C$74</f>
        <v>6.4552900576145354E-3</v>
      </c>
      <c r="E81" s="181">
        <f>E74*F81</f>
        <v>519122</v>
      </c>
      <c r="F81" s="161">
        <f>I81</f>
        <v>6.4552900576145354E-3</v>
      </c>
      <c r="H81" s="239">
        <f>Inputs!F94</f>
        <v>519122</v>
      </c>
      <c r="I81" s="161">
        <f>H81/$H$74</f>
        <v>6.4552900576145354E-3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125</v>
      </c>
      <c r="C83" s="164">
        <f>C79-C81-C82-C80</f>
        <v>2916571.3333333335</v>
      </c>
      <c r="D83" s="165">
        <f>C83/$C$74</f>
        <v>3.6267609406633192E-2</v>
      </c>
      <c r="E83" s="166">
        <f>E79-E81-E82-E80</f>
        <v>2916571.3333333335</v>
      </c>
      <c r="F83" s="165">
        <f>E83/E74</f>
        <v>3.6267609406633192E-2</v>
      </c>
      <c r="H83" s="166">
        <f>H79-H81-H82-H80</f>
        <v>2916571.3333333335</v>
      </c>
      <c r="I83" s="165">
        <f>H83/$H$74</f>
        <v>3.6267609406633192E-2</v>
      </c>
      <c r="K83" s="24"/>
    </row>
    <row r="84" spans="1:11" ht="15" customHeight="1" thickTop="1" x14ac:dyDescent="0.4">
      <c r="B84" s="28" t="s">
        <v>96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164</v>
      </c>
      <c r="C85" s="258">
        <f>C83*(1-I84)</f>
        <v>2187428.5</v>
      </c>
      <c r="D85" s="259">
        <f>C85/$C$74</f>
        <v>2.7200707054974894E-2</v>
      </c>
      <c r="E85" s="265">
        <f>E83*(1-F84)</f>
        <v>2187428.5</v>
      </c>
      <c r="F85" s="259">
        <f>E85/E74</f>
        <v>2.7200707054974894E-2</v>
      </c>
      <c r="G85" s="261"/>
      <c r="H85" s="265">
        <f>H83*(1-I84)</f>
        <v>2187428.5</v>
      </c>
      <c r="I85" s="259">
        <f>H85/$H$74</f>
        <v>2.7200707054974894E-2</v>
      </c>
      <c r="K85" s="24"/>
    </row>
    <row r="86" spans="1:11" ht="15" customHeight="1" x14ac:dyDescent="0.4">
      <c r="B86" s="87" t="s">
        <v>160</v>
      </c>
      <c r="C86" s="168">
        <f>C85*Data!C4/Common_Shares</f>
        <v>0.38822490134576654</v>
      </c>
      <c r="D86" s="210"/>
      <c r="E86" s="169">
        <f>E85*Data!C4/Common_Shares</f>
        <v>0.38822490134576654</v>
      </c>
      <c r="F86" s="210"/>
      <c r="H86" s="169">
        <f>H85*Data!C4/Common_Shares</f>
        <v>0.38822490134576654</v>
      </c>
      <c r="I86" s="210"/>
      <c r="K86" s="24"/>
    </row>
    <row r="87" spans="1:11" ht="15" customHeight="1" x14ac:dyDescent="0.4">
      <c r="B87" s="87" t="s">
        <v>208</v>
      </c>
      <c r="C87" s="262">
        <f>C86*Exchange_Rate/Dashboard!G3</f>
        <v>4.1467434004531664E-2</v>
      </c>
      <c r="D87" s="210"/>
      <c r="E87" s="263">
        <f>E86*Exchange_Rate/Dashboard!G3</f>
        <v>4.1467434004531664E-2</v>
      </c>
      <c r="F87" s="210"/>
      <c r="H87" s="263">
        <f>H86*Exchange_Rate/Dashboard!G3</f>
        <v>4.1467434004531664E-2</v>
      </c>
      <c r="I87" s="210"/>
      <c r="K87" s="24"/>
    </row>
    <row r="88" spans="1:11" ht="15" customHeight="1" x14ac:dyDescent="0.4">
      <c r="B88" s="86" t="s">
        <v>207</v>
      </c>
      <c r="C88" s="170">
        <f>Inputs!C44</f>
        <v>0.55320000000000003</v>
      </c>
      <c r="D88" s="167">
        <f>C88/C86</f>
        <v>1.4249472356934183</v>
      </c>
      <c r="E88" s="171">
        <f>Inputs!E98</f>
        <v>0.27660000000000001</v>
      </c>
      <c r="F88" s="167">
        <f>E88/E86</f>
        <v>0.71247361784670915</v>
      </c>
      <c r="H88" s="171">
        <f>Inputs!F98</f>
        <v>0.27660000000000001</v>
      </c>
      <c r="I88" s="167">
        <f>H88/H86</f>
        <v>0.71247361784670915</v>
      </c>
      <c r="K88" s="24"/>
    </row>
    <row r="89" spans="1:11" ht="15" customHeight="1" x14ac:dyDescent="0.4">
      <c r="B89" s="87" t="s">
        <v>221</v>
      </c>
      <c r="C89" s="262">
        <f>C88*Exchange_Rate/Dashboard!G3</f>
        <v>5.9088905456056641E-2</v>
      </c>
      <c r="D89" s="210"/>
      <c r="E89" s="262">
        <f>E88*Exchange_Rate/Dashboard!G3</f>
        <v>2.954445272802832E-2</v>
      </c>
      <c r="F89" s="210"/>
      <c r="H89" s="262">
        <f>H88*Exchange_Rate/Dashboard!G3</f>
        <v>2.954445272802832E-2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9" t="str">
        <f>Inputs!C15</f>
        <v>CN</v>
      </c>
      <c r="D92" s="10" t="s">
        <v>156</v>
      </c>
      <c r="E92" s="284" t="s">
        <v>206</v>
      </c>
      <c r="F92" s="284"/>
      <c r="G92" s="87"/>
      <c r="H92" s="284" t="s">
        <v>205</v>
      </c>
      <c r="I92" s="284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209</v>
      </c>
      <c r="F93" s="144">
        <f>FV(E87,D93,0,-(E86/C93))*Exchange_Rate</f>
        <v>7.0849509922344476</v>
      </c>
      <c r="H93" s="87" t="s">
        <v>209</v>
      </c>
      <c r="I93" s="144">
        <f>FV(H87,D93,0,-(H86/C93))*Exchange_Rate</f>
        <v>7.0849509922344476</v>
      </c>
      <c r="K93" s="24"/>
    </row>
    <row r="94" spans="1:11" ht="15" customHeight="1" x14ac:dyDescent="0.4">
      <c r="B94" s="1" t="s">
        <v>211</v>
      </c>
      <c r="C94" s="183">
        <f>Dashboard!G20</f>
        <v>0.15</v>
      </c>
      <c r="D94" s="145"/>
      <c r="E94" s="87" t="s">
        <v>210</v>
      </c>
      <c r="F94" s="144">
        <f>FV(E89,D93,0,-(E88/C93))*Exchange_Rate</f>
        <v>4.7654364317730726</v>
      </c>
      <c r="H94" s="87" t="s">
        <v>210</v>
      </c>
      <c r="I94" s="144">
        <f>FV(H89,D93,0,-(H88/C93))*Exchange_Rate</f>
        <v>4.7654364317730726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4" t="str">
        <f>E72</f>
        <v>Pessimistic Case</v>
      </c>
      <c r="F96" s="228" t="s">
        <v>237</v>
      </c>
      <c r="H96" s="184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19847148.84434909</v>
      </c>
      <c r="D97" s="214"/>
      <c r="E97" s="123">
        <f>PV(C94,D93,0,-F93)</f>
        <v>3.5224728040675024</v>
      </c>
      <c r="F97" s="214"/>
      <c r="H97" s="123">
        <f>PV(C94,D93,0,-I93)</f>
        <v>3.5224728040675024</v>
      </c>
      <c r="I97" s="123">
        <f>PV(C93,D93,0,-I93)</f>
        <v>5.0045256985884397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114</v>
      </c>
      <c r="C100" s="91">
        <f>C97-C98+$C$99</f>
        <v>19847148.84434909</v>
      </c>
      <c r="D100" s="109">
        <f>MIN(F100*(1-C94),E100)</f>
        <v>2.9941018834573772</v>
      </c>
      <c r="E100" s="109">
        <f>MAX(E97-H98+E99,0)</f>
        <v>3.5224728040675024</v>
      </c>
      <c r="F100" s="109">
        <f>(E100+H100)/2</f>
        <v>3.5224728040675024</v>
      </c>
      <c r="H100" s="109">
        <f>MAX(C100*Data!$C$4/Common_Shares,0)</f>
        <v>3.5224728040675024</v>
      </c>
      <c r="I100" s="109">
        <f>MAX(I97-H98+H99,0)</f>
        <v>5.0045256985884397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4" t="str">
        <f>E96</f>
        <v>Pessimistic Case</v>
      </c>
      <c r="F102" s="228" t="s">
        <v>237</v>
      </c>
      <c r="H102" s="184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13349467.94598156</v>
      </c>
      <c r="D103" s="109">
        <f>MIN(F103*(1-C94),E103)</f>
        <v>2.0138745083073979</v>
      </c>
      <c r="E103" s="123">
        <f>PV(C94,D93,0,-F94)</f>
        <v>2.3692641274204682</v>
      </c>
      <c r="F103" s="109">
        <f>(E103+H103)/2</f>
        <v>2.3692641274204682</v>
      </c>
      <c r="H103" s="123">
        <f>PV(C94,D93,0,-I94)</f>
        <v>2.3692641274204682</v>
      </c>
      <c r="I103" s="109">
        <f>PV(C93,D93,0,-I94)</f>
        <v>3.3661134867323241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5" t="str">
        <f>E96</f>
        <v>Pessimistic Case</v>
      </c>
      <c r="F105" s="228" t="s">
        <v>237</v>
      </c>
      <c r="H105" s="185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16598308.395165328</v>
      </c>
      <c r="D106" s="109">
        <f>(D100+D103)/2</f>
        <v>2.5039881958823873</v>
      </c>
      <c r="E106" s="123">
        <f>(E100+E103)/2</f>
        <v>2.9458684657439855</v>
      </c>
      <c r="F106" s="109">
        <f>(F100+F103)/2</f>
        <v>2.9458684657439855</v>
      </c>
      <c r="H106" s="123">
        <f>(H100+H103)/2</f>
        <v>2.9458684657439855</v>
      </c>
      <c r="I106" s="123">
        <f>(I100+I103)/2</f>
        <v>4.1853195926603819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2024-12-03T08:16:02Z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