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55B209B-A173-430A-84D9-5759E61A71A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D45" i="4" s="1"/>
  <c r="C44" i="4"/>
  <c r="D43" i="4"/>
  <c r="D40" i="4"/>
  <c r="D39" i="4"/>
  <c r="D35" i="4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<sst xmlns="http://schemas.openxmlformats.org/spreadsheetml/2006/main" count="390" uniqueCount="269">
  <si>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</si>
  <si>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</si>
  <si>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</si>
  <si>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</si>
  <si>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</si>
  <si>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</si>
  <si>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</si>
  <si>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</si>
  <si>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</si>
  <si>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</si>
  <si>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</si>
  <si>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</si>
  <si>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</si>
  <si>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</si>
  <si>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</si>
  <si>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</si>
  <si>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</si>
  <si>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</si>
  <si>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</si>
  <si>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</si>
  <si>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</si>
  <si>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</si>
  <si>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</si>
  <si>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</si>
  <si>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</si>
  <si>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</si>
  <si>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</si>
  <si>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</si>
  <si>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</si>
  <si>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</si>
  <si>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</si>
  <si>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</si>
  <si>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</si>
  <si>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</si>
  <si>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</si>
  <si>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</si>
  <si>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</si>
  <si>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</si>
  <si>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</si>
  <si>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</si>
  <si>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</si>
  <si>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</si>
  <si>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</si>
  <si>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</si>
  <si>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</si>
  <si>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</si>
  <si>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</si>
  <si>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</si>
  <si>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</si>
  <si>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</si>
  <si>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</si>
  <si>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</si>
  <si>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</si>
  <si>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</si>
  <si>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</si>
  <si>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</si>
  <si>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</si>
  <si>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</si>
  <si>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</si>
  <si>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</si>
  <si>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</si>
  <si>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</si>
  <si>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</si>
  <si>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</si>
  <si>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</si>
  <si>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</si>
  <si>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</si>
  <si>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</si>
  <si>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</si>
  <si>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</si>
  <si>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</si>
  <si>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</si>
  <si>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</si>
  <si>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</si>
  <si>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</si>
  <si>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</si>
  <si>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</si>
  <si>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</si>
  <si>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</si>
  <si>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</si>
  <si>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</si>
  <si>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</si>
  <si>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</si>
  <si>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</si>
  <si>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</si>
  <si>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</si>
  <si>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</si>
  <si>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</si>
  <si>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</si>
  <si>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</si>
  <si>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</si>
  <si>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</si>
  <si>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</si>
  <si>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</si>
  <si>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</si>
  <si>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</si>
  <si>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</si>
  <si>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</si>
  <si>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</si>
  <si>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</si>
  <si>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</si>
  <si>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</si>
  <si>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</si>
  <si>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</si>
  <si>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</si>
  <si>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</si>
  <si>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</si>
  <si>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</si>
  <si>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</si>
  <si>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</si>
  <si>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</si>
  <si>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</si>
  <si>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</si>
  <si>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</si>
  <si>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</si>
  <si>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</si>
  <si>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</si>
  <si>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</si>
  <si>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</si>
  <si>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</si>
  <si>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</si>
  <si>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</si>
  <si>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</si>
  <si>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</si>
  <si>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</si>
  <si>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</si>
  <si>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</si>
  <si>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</si>
  <si>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</si>
  <si>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</si>
  <si>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</si>
  <si>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</si>
  <si>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</si>
  <si>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</si>
  <si>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</si>
  <si>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</si>
  <si>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</si>
  <si>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</si>
  <si>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</si>
  <si>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</si>
  <si>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</si>
  <si>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</si>
  <si>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</si>
  <si>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</si>
  <si>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</si>
  <si>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</si>
  <si>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</si>
  <si>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</si>
  <si>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</si>
  <si>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</si>
  <si>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</si>
  <si>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</si>
  <si>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</si>
  <si>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</si>
  <si>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</si>
  <si>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</si>
  <si>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</si>
  <si>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</si>
  <si>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</si>
  <si>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</si>
  <si>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</si>
  <si>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</si>
  <si>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</si>
  <si>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</si>
  <si>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</si>
  <si>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</si>
  <si>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</si>
  <si>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</si>
  <si>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</si>
  <si>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</si>
  <si>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</si>
  <si>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</si>
  <si>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</si>
  <si>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</si>
  <si>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</si>
  <si>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</si>
  <si>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</si>
  <si>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</si>
  <si>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</si>
  <si>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</si>
  <si>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</si>
  <si>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</si>
  <si>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</si>
  <si>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</si>
  <si>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</si>
  <si>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</si>
  <si>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</si>
  <si>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</si>
  <si>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</si>
  <si>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</si>
  <si>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</si>
  <si>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</si>
  <si>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</si>
  <si>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</si>
  <si>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</si>
  <si>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</si>
  <si>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</si>
  <si>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</si>
  <si>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</si>
  <si>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</si>
  <si>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</si>
  <si>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</si>
  <si>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</si>
  <si>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</si>
  <si>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</si>
  <si>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</si>
  <si>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</si>
  <si>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</si>
  <si>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</si>
  <si>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</si>
  <si>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</si>
  <si>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</si>
  <si>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</si>
  <si>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</si>
  <si>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</si>
  <si>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</si>
  <si>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</si>
  <si>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</si>
  <si>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</si>
  <si>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</si>
  <si>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</si>
  <si>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</si>
  <si>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</si>
  <si>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</si>
  <si>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</si>
  <si>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</si>
  <si>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</si>
  <si>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</si>
  <si>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</si>
  <si>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</si>
  <si>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</si>
  <si>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</si>
  <si>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</si>
  <si>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</si>
  <si>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</si>
  <si>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</si>
  <si>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</si>
  <si>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</si>
  <si>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</si>
  <si>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</si>
  <si>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</si>
  <si>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</si>
  <si>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</si>
  <si>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</si>
  <si>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</si>
  <si>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</si>
  <si>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</si>
  <si>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</si>
  <si>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</si>
  <si>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</si>
  <si>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</si>
  <si>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</si>
  <si>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</si>
  <si>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</si>
  <si>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</si>
  <si>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</si>
  <si>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</si>
  <si>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</si>
  <si>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</si>
  <si>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</si>
  <si>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0700.HK</t>
  </si>
  <si>
    <t>騰訊控股</t>
  </si>
  <si>
    <t>Tier 3</t>
  </si>
  <si>
    <t>C0009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</si>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</sst>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262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9267407258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266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609015</v>
      </c>
      <c r="D25" s="150">
        <v>554552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315906</v>
      </c>
      <c r="D26" s="151">
        <v>315806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34211+103525</f>
        <v>137736</v>
      </c>
      <c r="D27" s="151">
        <f>29229+106696</f>
        <v>135925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12268</v>
      </c>
      <c r="D29" s="151">
        <v>9352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2832</v>
      </c>
      <c r="D30" s="151">
        <v>466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3.4/Exchange_Rate</f>
        <v>3.1704538097705512</v>
      </c>
      <c r="D44" s="251">
        <f>2.4/Exchange_Rate</f>
        <v>2.2379673951321539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8.4283589489340602E-3</v>
      </c>
      <c r="D45" s="153">
        <f>IF(D44="","",D44*Exchange_Rate/Dashboard!$G$3)</f>
        <v>5.9494298463063956E-3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609015</v>
      </c>
      <c r="D91" s="210"/>
      <c r="E91" s="252">
        <f>C91</f>
        <v>609015</v>
      </c>
      <c r="F91" s="252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60">
        <f>C92/C91</f>
        <v>0.51871628777616319</v>
      </c>
      <c r="E92" s="253">
        <f>E91*D92</f>
        <v>315906</v>
      </c>
      <c r="F92" s="253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60">
        <f>C93/C91</f>
        <v>0.22616191719415779</v>
      </c>
      <c r="E93" s="253">
        <f>E91*D93</f>
        <v>137736</v>
      </c>
      <c r="F93" s="253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60">
        <f>C94/C91</f>
        <v>2.0144003021272054E-2</v>
      </c>
      <c r="E94" s="254"/>
      <c r="F94" s="253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60">
        <f>C97/C91</f>
        <v>6.2001756935379264E-3</v>
      </c>
      <c r="E97" s="254"/>
      <c r="F97" s="253">
        <f>F91*D97</f>
        <v>3776</v>
      </c>
    </row>
    <row r="98" spans="2:7" ht="13.9" x14ac:dyDescent="0.4">
      <c r="B98" s="86" t="s">
        <v>207</v>
      </c>
      <c r="C98" s="238">
        <f>C44</f>
        <v>3.1704538097705512</v>
      </c>
      <c r="D98" s="267"/>
      <c r="E98" s="255">
        <f>F98</f>
        <v>3.1704538097705512</v>
      </c>
      <c r="F98" s="255">
        <f>C98</f>
        <v>3.1704538097705512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0700.HK</v>
      </c>
      <c r="D3" s="277"/>
      <c r="E3" s="87"/>
      <c r="F3" s="3" t="s">
        <v>1</v>
      </c>
      <c r="G3" s="132">
        <v>403.4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騰訊控股</v>
      </c>
      <c r="D4" s="279"/>
      <c r="E4" s="87"/>
      <c r="F4" s="3" t="s">
        <v>2</v>
      </c>
      <c r="G4" s="282">
        <f>Inputs!C10</f>
        <v>9267407258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3738472.0878771995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Tier 3</v>
      </c>
      <c r="D7" s="188" t="str">
        <f>Inputs!C9</f>
        <v>C0009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0.51871628777616319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3.7581777791975761</v>
      </c>
    </row>
    <row r="24" spans="1:8" ht="15.75" customHeight="1" x14ac:dyDescent="0.4">
      <c r="B24" s="137" t="s">
        <v>170</v>
      </c>
      <c r="C24" s="172">
        <f>Fin_Analysis!I81</f>
        <v>2.0144003021272054E-2</v>
      </c>
      <c r="F24" s="140" t="s">
        <v>259</v>
      </c>
      <c r="G24" s="269">
        <f>G3/(Fin_Analysis!H86*G7)</f>
        <v>33.360601487130786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0.28117512408588169</v>
      </c>
    </row>
    <row r="26" spans="1:8" ht="15.75" customHeight="1" x14ac:dyDescent="0.4">
      <c r="B26" s="138" t="s">
        <v>173</v>
      </c>
      <c r="C26" s="172">
        <f>Fin_Analysis!I83</f>
        <v>0.22877761631486909</v>
      </c>
      <c r="F26" s="141" t="s">
        <v>193</v>
      </c>
      <c r="G26" s="179">
        <f>Fin_Analysis!H88*Exchange_Rate/G3</f>
        <v>8.4283589489340602E-3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57.532747031356266</v>
      </c>
      <c r="D29" s="129">
        <f>G29*(1+G20)</f>
        <v>124.66890635801246</v>
      </c>
      <c r="E29" s="87"/>
      <c r="F29" s="131">
        <f>IF(Fin_Analysis!C108="Profit",Fin_Analysis!F100,IF(Fin_Analysis!C108="Dividend",Fin_Analysis!F103,Fin_Analysis!F106))</f>
        <v>67.685584742772079</v>
      </c>
      <c r="G29" s="273">
        <f>IF(Fin_Analysis!C108="Profit",Fin_Analysis!I100,IF(Fin_Analysis!C108="Dividend",Fin_Analysis!I103,Fin_Analysis!I106))</f>
        <v>108.40774465914129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609015</v>
      </c>
      <c r="D6" s="201">
        <f>IF(Inputs!D25="","",Inputs!D25)</f>
        <v>554552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315906</v>
      </c>
      <c r="D8" s="200">
        <f>IF(Inputs!D26="","",Inputs!D26)</f>
        <v>315806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293109</v>
      </c>
      <c r="D9" s="152">
        <f t="shared" si="2"/>
        <v>238746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137736</v>
      </c>
      <c r="D10" s="200">
        <f>IF(Inputs!D27="","",Inputs!D27)</f>
        <v>135925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3776</v>
      </c>
      <c r="D12" s="200">
        <f>IF(Inputs!D30="","",MAX(Inputs!D30,0)/(1-Fin_Analysis!$I$84))</f>
        <v>621.33333333333337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0.24892161933614115</v>
      </c>
      <c r="D13" s="230">
        <f t="shared" si="3"/>
        <v>0.18429230562087356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151597</v>
      </c>
      <c r="D14" s="231">
        <f t="shared" ref="D14:M14" si="4">IF(D6="","",D9-D10-MAX(D11,0)-MAX(D12,0))</f>
        <v>102199.66666666667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0.48334143294661752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12268</v>
      </c>
      <c r="D17" s="200">
        <f>IF(Inputs!D29="","",Inputs!D29)</f>
        <v>9352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139329</v>
      </c>
      <c r="D22" s="162">
        <f t="shared" ref="D22:M22" si="8">IF(D6="","",D14-MAX(D16,0)-MAX(D17,0)-ABS(MAX(D21,0)-MAX(D19,0)))</f>
        <v>92847.666666666672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0.17158321223615181</v>
      </c>
      <c r="D23" s="154">
        <f t="shared" si="9"/>
        <v>0.12557118178277241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0.50061929396897431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0.30171018928907634</v>
      </c>
      <c r="D40" s="156">
        <f>IF(D6="","",D14/MAX(D39,0))</f>
        <v>6.2984808450164782E-3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0.51871628777616319</v>
      </c>
      <c r="D42" s="157">
        <f t="shared" si="34"/>
        <v>0.56947950778285894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0.22616191719415779</v>
      </c>
      <c r="D43" s="154">
        <f t="shared" si="35"/>
        <v>0.2451077626624735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2.0144003021272054E-2</v>
      </c>
      <c r="D45" s="154">
        <f t="shared" si="37"/>
        <v>1.686406324384368E-2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6.2001756935379264E-3</v>
      </c>
      <c r="D46" s="154">
        <f t="shared" ref="D46:M46" si="38">IF(D6="","",MAX(D12,0)/D6)</f>
        <v>1.1204239337940056E-3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0.22877761631486909</v>
      </c>
      <c r="D48" s="154">
        <f t="shared" si="40"/>
        <v>0.16742824237702988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8.5794274361058437E-2</v>
      </c>
      <c r="D50" s="157">
        <f t="shared" si="41"/>
        <v>0.77753574056175079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7.2034350549658056E-3</v>
      </c>
      <c r="D51" s="154">
        <f t="shared" si="42"/>
        <v>4.071861610813774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0.43950826903206702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0.44519746932515336</v>
      </c>
      <c r="D54" s="158">
        <f t="shared" si="44"/>
        <v>5.6738563800966181E-2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8.8050585305284618E-2</v>
      </c>
      <c r="D55" s="154">
        <f t="shared" si="45"/>
        <v>0.10072412517995426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1.3450387544929943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-269743.31242168805</v>
      </c>
      <c r="E6" s="56">
        <f>1-D6/D3</f>
        <v>1.2907979568947376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9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9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9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9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9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9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9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7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9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9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9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9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9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9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9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9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8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3.7581777791975761</v>
      </c>
      <c r="E53" s="88">
        <f>IF(C53=0,0,MAX(C53,C53*Dashboard!G23))</f>
        <v>251482.22427278501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312960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10"/>
      <c r="E74" s="239">
        <f>Inputs!E91</f>
        <v>609015</v>
      </c>
      <c r="F74" s="210"/>
      <c r="H74" s="239">
        <f>Inputs!F91</f>
        <v>609015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60">
        <f>C75/$C$74</f>
        <v>0.51871628777616319</v>
      </c>
      <c r="E75" s="239">
        <f>Inputs!E92</f>
        <v>315906</v>
      </c>
      <c r="F75" s="161">
        <f>E75/E74</f>
        <v>0.51871628777616319</v>
      </c>
      <c r="H75" s="239">
        <f>Inputs!F92</f>
        <v>315906</v>
      </c>
      <c r="I75" s="161">
        <f>H75/$H$74</f>
        <v>0.51871628777616319</v>
      </c>
      <c r="K75" s="24"/>
    </row>
    <row r="76" spans="1:11" ht="15" customHeight="1" x14ac:dyDescent="0.4">
      <c r="B76" s="35" t="s">
        <v>95</v>
      </c>
      <c r="C76" s="162">
        <f>C74-C75</f>
        <v>293109</v>
      </c>
      <c r="D76" s="211"/>
      <c r="E76" s="163">
        <f>E74-E75</f>
        <v>293109</v>
      </c>
      <c r="F76" s="211"/>
      <c r="H76" s="163">
        <f>H74-H75</f>
        <v>293109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60">
        <f>C77/$C$74</f>
        <v>0.22616191719415779</v>
      </c>
      <c r="E77" s="239">
        <f>Inputs!E93</f>
        <v>137736</v>
      </c>
      <c r="F77" s="161">
        <f>E77/E74</f>
        <v>0.22616191719415779</v>
      </c>
      <c r="H77" s="239">
        <f>Inputs!F93</f>
        <v>137736</v>
      </c>
      <c r="I77" s="161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60">
        <f>C78/$C$74</f>
        <v>6.2001756935379264E-3</v>
      </c>
      <c r="E78" s="181">
        <f>E74*F78</f>
        <v>3776</v>
      </c>
      <c r="F78" s="161">
        <f>I78</f>
        <v>6.2001756935379264E-3</v>
      </c>
      <c r="H78" s="239">
        <f>Inputs!F97</f>
        <v>3776</v>
      </c>
      <c r="I78" s="161">
        <f>H78/$H$74</f>
        <v>6.2001756935379264E-3</v>
      </c>
      <c r="K78" s="24"/>
    </row>
    <row r="79" spans="1:11" ht="15" customHeight="1" x14ac:dyDescent="0.4">
      <c r="B79" s="257" t="s">
        <v>232</v>
      </c>
      <c r="C79" s="258">
        <f>C76-C77-C78</f>
        <v>151597</v>
      </c>
      <c r="D79" s="259">
        <f>C79/C74</f>
        <v>0.24892161933614115</v>
      </c>
      <c r="E79" s="260">
        <f>E76-E77-E78</f>
        <v>151597</v>
      </c>
      <c r="F79" s="259">
        <f>E79/E74</f>
        <v>0.24892161933614115</v>
      </c>
      <c r="G79" s="261"/>
      <c r="H79" s="260">
        <f>H76-H77-H78</f>
        <v>151597</v>
      </c>
      <c r="I79" s="259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60">
        <f>C81/$C$74</f>
        <v>2.0144003021272054E-2</v>
      </c>
      <c r="E81" s="181">
        <f>E74*F81</f>
        <v>12268</v>
      </c>
      <c r="F81" s="161">
        <f>I81</f>
        <v>2.0144003021272054E-2</v>
      </c>
      <c r="H81" s="239">
        <f>Inputs!F94</f>
        <v>12268</v>
      </c>
      <c r="I81" s="161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139329</v>
      </c>
      <c r="D83" s="165">
        <f>C83/$C$74</f>
        <v>0.22877761631486909</v>
      </c>
      <c r="E83" s="166">
        <f>E79-E81-E82-E80</f>
        <v>139329</v>
      </c>
      <c r="F83" s="165">
        <f>E83/E74</f>
        <v>0.22877761631486909</v>
      </c>
      <c r="H83" s="166">
        <f>H79-H81-H82-H80</f>
        <v>139329</v>
      </c>
      <c r="I83" s="165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104496.75</v>
      </c>
      <c r="D85" s="259">
        <f>C85/$C$74</f>
        <v>0.17158321223615181</v>
      </c>
      <c r="E85" s="265">
        <f>E83*(1-F84)</f>
        <v>104496.75</v>
      </c>
      <c r="F85" s="259">
        <f>E85/E74</f>
        <v>0.17158321223615181</v>
      </c>
      <c r="G85" s="261"/>
      <c r="H85" s="265">
        <f>H83*(1-I84)</f>
        <v>104496.75</v>
      </c>
      <c r="I85" s="259">
        <f>H85/$H$74</f>
        <v>0.17158321223615181</v>
      </c>
      <c r="K85" s="24"/>
    </row>
    <row r="86" spans="1:11" ht="15" customHeight="1" x14ac:dyDescent="0.4">
      <c r="B86" s="87" t="s">
        <v>160</v>
      </c>
      <c r="C86" s="168">
        <f>C85*Data!C4/Common_Shares</f>
        <v>11.275726542587647</v>
      </c>
      <c r="D86" s="210"/>
      <c r="E86" s="169">
        <f>E85*Data!C4/Common_Shares</f>
        <v>11.275726542587647</v>
      </c>
      <c r="F86" s="210"/>
      <c r="H86" s="169">
        <f>H85*Data!C4/Common_Shares</f>
        <v>11.275726542587647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2.9975478721082437E-2</v>
      </c>
      <c r="D87" s="210"/>
      <c r="E87" s="263">
        <f>E86*Exchange_Rate/Dashboard!G3</f>
        <v>2.9975478721082437E-2</v>
      </c>
      <c r="F87" s="210"/>
      <c r="H87" s="263">
        <f>H86*Exchange_Rate/Dashboard!G3</f>
        <v>2.9975478721082437E-2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3.1704538097705512</v>
      </c>
      <c r="D88" s="167">
        <f>C88/C86</f>
        <v>0.28117512408588169</v>
      </c>
      <c r="E88" s="171">
        <f>Inputs!E98</f>
        <v>3.1704538097705512</v>
      </c>
      <c r="F88" s="167">
        <f>E88/E86</f>
        <v>0.28117512408588169</v>
      </c>
      <c r="H88" s="171">
        <f>Inputs!F98</f>
        <v>3.1704538097705512</v>
      </c>
      <c r="I88" s="167">
        <f>H88/H86</f>
        <v>0.28117512408588169</v>
      </c>
      <c r="K88" s="24"/>
    </row>
    <row r="89" spans="1:11" ht="15" customHeight="1" x14ac:dyDescent="0.4">
      <c r="B89" s="87" t="s">
        <v>221</v>
      </c>
      <c r="C89" s="262">
        <f>C88*Exchange_Rate/Dashboard!G3</f>
        <v>8.4283589489340602E-3</v>
      </c>
      <c r="D89" s="210"/>
      <c r="E89" s="262">
        <f>E88*Exchange_Rate/Dashboard!G3</f>
        <v>8.4283589489340602E-3</v>
      </c>
      <c r="F89" s="210"/>
      <c r="H89" s="262">
        <f>H88*Exchange_Rate/Dashboard!G3</f>
        <v>8.4283589489340602E-3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194.67220662098569</v>
      </c>
      <c r="H93" s="87" t="s">
        <v>209</v>
      </c>
      <c r="I93" s="144">
        <f>FV(H87,D93,0,-(H86/C93))*Exchange_Rate</f>
        <v>194.67220662098569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49.246080705103381</v>
      </c>
      <c r="H94" s="87" t="s">
        <v>210</v>
      </c>
      <c r="I94" s="144">
        <f>FV(H89,D93,0,-(H88/C93))*Exchange_Rate</f>
        <v>49.246080705103381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896959.83974512178</v>
      </c>
      <c r="D97" s="214"/>
      <c r="E97" s="123">
        <f>PV(C94,D93,0,-F93)</f>
        <v>96.786492141135795</v>
      </c>
      <c r="F97" s="214"/>
      <c r="H97" s="123">
        <f>PV(C94,D93,0,-I93)</f>
        <v>96.786492141135795</v>
      </c>
      <c r="I97" s="123">
        <f>PV(C93,D93,0,-I93)</f>
        <v>137.508652057505</v>
      </c>
      <c r="K97" s="24"/>
    </row>
    <row r="98" spans="2:11" ht="15" customHeight="1" x14ac:dyDescent="0.4">
      <c r="B98" s="28" t="s">
        <v>144</v>
      </c>
      <c r="C98" s="91">
        <f>E53*Exchange_Rate</f>
        <v>269689.96043798188</v>
      </c>
      <c r="D98" s="214"/>
      <c r="E98" s="214"/>
      <c r="F98" s="214"/>
      <c r="H98" s="123">
        <f>C98*Data!$C$4/Common_Shares</f>
        <v>29.100907398363724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627269.8793071399</v>
      </c>
      <c r="D100" s="109">
        <f>MIN(F100*(1-C94),E100)</f>
        <v>57.532747031356266</v>
      </c>
      <c r="E100" s="109">
        <f>MAX(E97-H98+E99,0)</f>
        <v>67.685584742772079</v>
      </c>
      <c r="F100" s="109">
        <f>(E100+H100)/2</f>
        <v>67.685584742772079</v>
      </c>
      <c r="H100" s="109">
        <f>MAX(C100*Data!$C$4/Common_Shares,0)</f>
        <v>67.685584742772065</v>
      </c>
      <c r="I100" s="109">
        <f>MAX(I97-H98+H99,0)</f>
        <v>108.40774465914129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226903.25149149023</v>
      </c>
      <c r="D103" s="109">
        <f>MIN(F103*(1-C94),E103)</f>
        <v>20.811404786519493</v>
      </c>
      <c r="E103" s="123">
        <f>PV(C94,D93,0,-F94)</f>
        <v>24.484005631199405</v>
      </c>
      <c r="F103" s="109">
        <f>(E103+H103)/2</f>
        <v>24.484005631199405</v>
      </c>
      <c r="H103" s="123">
        <f>PV(C94,D93,0,-I94)</f>
        <v>24.484005631199405</v>
      </c>
      <c r="I103" s="109">
        <f>PV(C93,D93,0,-I94)</f>
        <v>34.785459590839579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427086.56539931515</v>
      </c>
      <c r="D106" s="109">
        <f>(D100+D103)/2</f>
        <v>39.172075908937877</v>
      </c>
      <c r="E106" s="123">
        <f>(E100+E103)/2</f>
        <v>46.084795186985744</v>
      </c>
      <c r="F106" s="109">
        <f>(F100+F103)/2</f>
        <v>46.084795186985744</v>
      </c>
      <c r="H106" s="123">
        <f>(H100+H103)/2</f>
        <v>46.084795186985737</v>
      </c>
      <c r="I106" s="123">
        <f>(I100+I103)/2</f>
        <v>71.596602124990426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