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CBF36A2-2353-4A45-AD58-241A240BBD3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<sst xmlns="http://schemas.openxmlformats.org/spreadsheetml/2006/main" count="390" uniqueCount="269">
  <si>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</si>
  <si>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</si>
  <si>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</si>
  <si>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</si>
  <si>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</si>
  <si>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</si>
  <si>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</si>
  <si>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</si>
  <si>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</si>
  <si>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</si>
  <si>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</si>
  <si>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</si>
  <si>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</si>
  <si>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</si>
  <si>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</si>
  <si>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</si>
  <si>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</si>
  <si>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</si>
  <si>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</si>
  <si>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</si>
  <si>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</si>
  <si>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</si>
  <si>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</si>
  <si>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</si>
  <si>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</si>
  <si>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</si>
  <si>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</si>
  <si>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</si>
  <si>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</si>
  <si>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</si>
  <si>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</si>
  <si>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</si>
  <si>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</si>
  <si>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</si>
  <si>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</si>
  <si>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</si>
  <si>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</si>
  <si>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</si>
  <si>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</si>
  <si>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</si>
  <si>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</si>
  <si>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</si>
  <si>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</si>
  <si>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</si>
  <si>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</si>
  <si>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</si>
  <si>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</si>
  <si>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</si>
  <si>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</si>
  <si>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</si>
  <si>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</si>
  <si>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</si>
  <si>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</si>
  <si>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</si>
  <si>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</si>
  <si>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</si>
  <si>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</si>
  <si>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</si>
  <si>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</si>
  <si>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</si>
  <si>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</si>
  <si>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</si>
  <si>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</si>
  <si>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</si>
  <si>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</si>
  <si>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</si>
  <si>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</si>
  <si>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</si>
  <si>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</si>
  <si>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</si>
  <si>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</si>
  <si>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</si>
  <si>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</si>
  <si>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</si>
  <si>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</si>
  <si>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</si>
  <si>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</si>
  <si>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</si>
  <si>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</si>
  <si>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</si>
  <si>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</si>
  <si>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</si>
  <si>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</si>
  <si>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</si>
  <si>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</si>
  <si>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</si>
  <si>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</si>
  <si>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</si>
  <si>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</si>
  <si>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</si>
  <si>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</si>
  <si>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</si>
  <si>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</si>
  <si>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</si>
  <si>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</si>
  <si>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</si>
  <si>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</si>
  <si>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</si>
  <si>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</si>
  <si>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</si>
  <si>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</si>
  <si>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</si>
  <si>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</si>
  <si>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</si>
  <si>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</si>
  <si>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</si>
  <si>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</si>
  <si>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</si>
  <si>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</si>
  <si>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</si>
  <si>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</si>
  <si>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</si>
  <si>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</si>
  <si>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</si>
  <si>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</si>
  <si>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</si>
  <si>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</si>
  <si>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</si>
  <si>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</si>
  <si>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</si>
  <si>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</si>
  <si>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</si>
  <si>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</si>
  <si>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</si>
  <si>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</si>
  <si>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</si>
  <si>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</si>
  <si>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</si>
  <si>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</si>
  <si>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</si>
  <si>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</si>
  <si>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</si>
  <si>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</si>
  <si>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</si>
  <si>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</si>
  <si>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</si>
  <si>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</si>
  <si>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</si>
  <si>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</si>
  <si>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</si>
  <si>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</si>
  <si>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</si>
  <si>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</si>
  <si>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</si>
  <si>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</si>
  <si>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</si>
  <si>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</si>
  <si>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</si>
  <si>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</si>
  <si>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</si>
  <si>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</si>
  <si>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</si>
  <si>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</si>
  <si>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</si>
  <si>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</si>
  <si>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</si>
  <si>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</si>
  <si>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</si>
  <si>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</si>
  <si>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</si>
  <si>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</si>
  <si>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</si>
  <si>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</si>
  <si>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</si>
  <si>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</si>
  <si>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</si>
  <si>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</si>
  <si>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</si>
  <si>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</si>
  <si>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</si>
  <si>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</si>
  <si>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</si>
  <si>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</si>
  <si>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</si>
  <si>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</si>
  <si>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</si>
  <si>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</si>
  <si>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</si>
  <si>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</si>
  <si>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</si>
  <si>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</si>
  <si>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</si>
  <si>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</si>
  <si>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</si>
  <si>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</si>
  <si>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</si>
  <si>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</si>
  <si>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</si>
  <si>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</si>
  <si>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</si>
  <si>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</si>
  <si>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</si>
  <si>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</si>
  <si>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</si>
  <si>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</si>
  <si>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</si>
  <si>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</si>
  <si>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</si>
  <si>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</si>
  <si>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</si>
  <si>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</si>
  <si>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</si>
  <si>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</si>
  <si>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</si>
  <si>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</si>
  <si>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</si>
  <si>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</si>
  <si>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</si>
  <si>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</si>
  <si>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</si>
  <si>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</si>
  <si>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</si>
  <si>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</si>
  <si>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</si>
  <si>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</si>
  <si>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</si>
  <si>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</si>
  <si>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</si>
  <si>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</si>
  <si>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</si>
  <si>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</si>
  <si>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</si>
  <si>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</si>
  <si>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</si>
  <si>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</si>
  <si>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</si>
  <si>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</si>
  <si>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</si>
  <si>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</si>
  <si>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</si>
  <si>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</si>
  <si>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</si>
  <si>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</si>
  <si>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</si>
  <si>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</si>
  <si>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</si>
  <si>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</si>
  <si>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</si>
  <si>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</si>
  <si>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</si>
  <si>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</si>
  <si>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</si>
  <si>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</si>
  <si>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</si>
  <si>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</si>
  <si>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</si>
  <si>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</si>
  <si>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</si>
  <si>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</si>
  <si>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</si>
  <si>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</si>
  <si>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</si>
  <si>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</si>
  <si>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</si>
  <si>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</si>
  <si>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</si>
  <si>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</si>
  <si>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</si>
  <si>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</si>
  <si>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</si>
  <si>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0710.HK</t>
  </si>
  <si>
    <t>京东方精电</t>
  </si>
  <si>
    <t>C0006</t>
  </si>
  <si>
    <t>CNY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</si>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</sst>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791575204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266</v>
      </c>
      <c r="D20" s="24"/>
    </row>
    <row r="21" spans="2:13" ht="13.9" x14ac:dyDescent="0.4">
      <c r="B21" s="225" t="s">
        <v>231</v>
      </c>
      <c r="C21" s="243" t="s">
        <v>265</v>
      </c>
      <c r="D21" s="24"/>
    </row>
    <row r="22" spans="2:13" ht="78.75" x14ac:dyDescent="0.4">
      <c r="B22" s="227" t="s">
        <v>230</v>
      </c>
      <c r="C22" s="244" t="s">
        <v>267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10760416</v>
      </c>
      <c r="D25" s="150">
        <v>10722361</v>
      </c>
      <c r="E25" s="150">
        <v>7737943</v>
      </c>
      <c r="F25" s="150">
        <v>4526914</v>
      </c>
      <c r="G25" s="150">
        <v>3573978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9307367</v>
      </c>
      <c r="D26" s="151">
        <v>9290616</v>
      </c>
      <c r="E26" s="151">
        <v>7340712</v>
      </c>
      <c r="F26" s="151">
        <v>4204600</v>
      </c>
      <c r="G26" s="151">
        <v>3214958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1606631</v>
      </c>
      <c r="D27" s="151">
        <v>1290315</v>
      </c>
      <c r="E27" s="151">
        <v>359473</v>
      </c>
      <c r="F27" s="151">
        <v>228660</v>
      </c>
      <c r="G27" s="151">
        <v>271638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25220</v>
      </c>
      <c r="D29" s="151">
        <v>12361</v>
      </c>
      <c r="E29" s="151">
        <v>915</v>
      </c>
      <c r="F29" s="151">
        <v>578</v>
      </c>
      <c r="G29" s="151">
        <v>538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5821</v>
      </c>
      <c r="D30" s="151">
        <v>22881</v>
      </c>
      <c r="E30" s="151">
        <v>313201</v>
      </c>
      <c r="F30" s="151">
        <v>57218</v>
      </c>
      <c r="G30" s="151">
        <v>0</v>
      </c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-563737</v>
      </c>
      <c r="D31" s="151">
        <v>193859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202110</v>
      </c>
      <c r="D32" s="151">
        <v>165770</v>
      </c>
      <c r="E32" s="151">
        <v>247000</v>
      </c>
      <c r="F32" s="151">
        <v>56000</v>
      </c>
      <c r="G32" s="151">
        <v>69000</v>
      </c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506463</v>
      </c>
      <c r="D33" s="151">
        <v>1177151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2.8657761178575124E-2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0</v>
      </c>
      <c r="D72" s="249">
        <v>0</v>
      </c>
      <c r="E72" s="250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10760416</v>
      </c>
      <c r="D91" s="210"/>
      <c r="E91" s="252">
        <f>C91</f>
        <v>10760416</v>
      </c>
      <c r="F91" s="252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60">
        <f>C92/C91</f>
        <v>0.8649634921177769</v>
      </c>
      <c r="E92" s="253">
        <f>E91*D92</f>
        <v>9307367</v>
      </c>
      <c r="F92" s="253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60">
        <f>C93/C91</f>
        <v>0.14930937614307849</v>
      </c>
      <c r="E93" s="253">
        <f>E91*D93</f>
        <v>1606631</v>
      </c>
      <c r="F93" s="253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60">
        <f>C94/C91</f>
        <v>2.3437755566327548E-3</v>
      </c>
      <c r="E94" s="254"/>
      <c r="F94" s="253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60">
        <f>C95/C91</f>
        <v>2.8284501268352451E-2</v>
      </c>
      <c r="E95" s="253">
        <f>E91*D95</f>
        <v>304353</v>
      </c>
      <c r="F95" s="253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60">
        <f>C97/C91</f>
        <v>7.2128562067984476E-4</v>
      </c>
      <c r="E97" s="254"/>
      <c r="F97" s="253">
        <f>F91*D97</f>
        <v>7761.3333333333321</v>
      </c>
    </row>
    <row r="98" spans="2:7" ht="13.9" x14ac:dyDescent="0.4">
      <c r="B98" s="86" t="s">
        <v>207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0710.HK</v>
      </c>
      <c r="D3" s="277"/>
      <c r="E3" s="87"/>
      <c r="F3" s="3" t="s">
        <v>1</v>
      </c>
      <c r="G3" s="132">
        <v>5.92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京东方精电</v>
      </c>
      <c r="D4" s="279"/>
      <c r="E4" s="87"/>
      <c r="F4" s="3" t="s">
        <v>2</v>
      </c>
      <c r="G4" s="282">
        <f>Inputs!C10</f>
        <v>791575204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4686.1252076800001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C0006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0.8649634921177769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0.98934213184414921</v>
      </c>
    </row>
    <row r="24" spans="1:8" ht="15.75" customHeight="1" x14ac:dyDescent="0.4">
      <c r="B24" s="137" t="s">
        <v>170</v>
      </c>
      <c r="C24" s="172">
        <f>Fin_Analysis!I81</f>
        <v>2.3437755566327548E-3</v>
      </c>
      <c r="F24" s="140" t="s">
        <v>259</v>
      </c>
      <c r="G24" s="269">
        <f>G3/(Fin_Analysis!H86*G7)</f>
        <v>-11.868276518147056</v>
      </c>
    </row>
    <row r="25" spans="1:8" ht="15.75" customHeight="1" x14ac:dyDescent="0.4">
      <c r="B25" s="137" t="s">
        <v>243</v>
      </c>
      <c r="C25" s="172">
        <f>Fin_Analysis!I82</f>
        <v>2.8284501268352451E-2</v>
      </c>
      <c r="F25" s="140" t="s">
        <v>174</v>
      </c>
      <c r="G25" s="172">
        <f>Fin_Analysis!I88</f>
        <v>-0.3401182340583494</v>
      </c>
    </row>
    <row r="26" spans="1:8" ht="15.75" customHeight="1" x14ac:dyDescent="0.4">
      <c r="B26" s="138" t="s">
        <v>173</v>
      </c>
      <c r="C26" s="172">
        <f>Fin_Analysis!I83</f>
        <v>-4.5622430706520396E-2</v>
      </c>
      <c r="F26" s="141" t="s">
        <v>193</v>
      </c>
      <c r="G26" s="179">
        <f>Fin_Analysis!H88*Exchange_Rate/G3</f>
        <v>2.8657761178575124E-2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3">
        <f>IF(Fin_Analysis!C108="Profit",Fin_Analysis!I100,IF(Fin_Analysis!C108="Dividend",Fin_Analysis!I103,Fin_Analysis!I106))</f>
        <v>0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10760416</v>
      </c>
      <c r="D6" s="201">
        <f>IF(Inputs!D25="","",Inputs!D25)</f>
        <v>10722361</v>
      </c>
      <c r="E6" s="201">
        <f>IF(Inputs!E25="","",Inputs!E25)</f>
        <v>7737943</v>
      </c>
      <c r="F6" s="201">
        <f>IF(Inputs!F25="","",Inputs!F25)</f>
        <v>4526914</v>
      </c>
      <c r="G6" s="201">
        <f>IF(Inputs!G25="","",Inputs!G25)</f>
        <v>3573978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9307367</v>
      </c>
      <c r="D8" s="200">
        <f>IF(Inputs!D26="","",Inputs!D26)</f>
        <v>9290616</v>
      </c>
      <c r="E8" s="200">
        <f>IF(Inputs!E26="","",Inputs!E26)</f>
        <v>7340712</v>
      </c>
      <c r="F8" s="200">
        <f>IF(Inputs!F26="","",Inputs!F26)</f>
        <v>4204600</v>
      </c>
      <c r="G8" s="200">
        <f>IF(Inputs!G26="","",Inputs!G26)</f>
        <v>3214958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1453049</v>
      </c>
      <c r="D9" s="152">
        <f t="shared" si="2"/>
        <v>1431745</v>
      </c>
      <c r="E9" s="152">
        <f t="shared" si="2"/>
        <v>397231</v>
      </c>
      <c r="F9" s="152">
        <f t="shared" si="2"/>
        <v>322314</v>
      </c>
      <c r="G9" s="152">
        <f t="shared" si="2"/>
        <v>359020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1606631</v>
      </c>
      <c r="D10" s="200">
        <f>IF(Inputs!D27="","",Inputs!D27)</f>
        <v>1290315</v>
      </c>
      <c r="E10" s="200">
        <f>IF(Inputs!E27="","",Inputs!E27)</f>
        <v>359473</v>
      </c>
      <c r="F10" s="200">
        <f>IF(Inputs!F27="","",Inputs!F27)</f>
        <v>228660</v>
      </c>
      <c r="G10" s="200">
        <f>IF(Inputs!G27="","",Inputs!G27)</f>
        <v>271638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7761.333333333333</v>
      </c>
      <c r="D12" s="200">
        <f>IF(Inputs!D30="","",MAX(Inputs!D30,0)/(1-Fin_Analysis!$I$84))</f>
        <v>30508</v>
      </c>
      <c r="E12" s="200">
        <f>IF(Inputs!E30="","",MAX(Inputs!E30,0)/(1-Fin_Analysis!$I$84))</f>
        <v>417601.33333333331</v>
      </c>
      <c r="F12" s="200">
        <f>IF(Inputs!F30="","",MAX(Inputs!F30,0)/(1-Fin_Analysis!$I$84))</f>
        <v>76290.666666666672</v>
      </c>
      <c r="G12" s="200">
        <f>IF(Inputs!G30="","",MAX(Inputs!G30,0)/(1-Fin_Analysis!$I$84))</f>
        <v>0</v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-1.4994153881535188E-2</v>
      </c>
      <c r="D13" s="230">
        <f t="shared" si="3"/>
        <v>1.0344923100425363E-2</v>
      </c>
      <c r="E13" s="230">
        <f t="shared" si="3"/>
        <v>-4.9088411911710039E-2</v>
      </c>
      <c r="F13" s="230">
        <f t="shared" si="3"/>
        <v>3.8355783505790763E-3</v>
      </c>
      <c r="G13" s="230">
        <f t="shared" si="3"/>
        <v>2.4449506963948854E-2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-161343.33333333334</v>
      </c>
      <c r="D14" s="231">
        <f t="shared" ref="D14:M14" si="4">IF(D6="","",D9-D10-MAX(D11,0)-MAX(D12,0))</f>
        <v>110922</v>
      </c>
      <c r="E14" s="231">
        <f t="shared" si="4"/>
        <v>-379843.33333333331</v>
      </c>
      <c r="F14" s="231">
        <f t="shared" si="4"/>
        <v>17363.333333333328</v>
      </c>
      <c r="G14" s="231">
        <f t="shared" si="4"/>
        <v>87382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 t="str">
        <f t="shared" si="5"/>
        <v>Turn</v>
      </c>
      <c r="F15" s="233">
        <f t="shared" si="5"/>
        <v>-0.80129393544055605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-563737</v>
      </c>
      <c r="D16" s="200">
        <f>IF(Inputs!D31="","",Inputs!D31)</f>
        <v>193859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25220</v>
      </c>
      <c r="D17" s="200">
        <f>IF(Inputs!D29="","",Inputs!D29)</f>
        <v>12361</v>
      </c>
      <c r="E17" s="200">
        <f>IF(Inputs!E29="","",Inputs!E29)</f>
        <v>915</v>
      </c>
      <c r="F17" s="200">
        <f>IF(Inputs!F29="","",Inputs!F29)</f>
        <v>578</v>
      </c>
      <c r="G17" s="200">
        <f>IF(Inputs!G29="","",Inputs!G29)</f>
        <v>538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1.8782731076568044E-2</v>
      </c>
      <c r="D18" s="153">
        <f t="shared" si="6"/>
        <v>1.5460214406136857E-2</v>
      </c>
      <c r="E18" s="153">
        <f t="shared" si="6"/>
        <v>3.1920628001524433E-2</v>
      </c>
      <c r="F18" s="153">
        <f t="shared" si="6"/>
        <v>1.237045810898992E-2</v>
      </c>
      <c r="G18" s="153">
        <f t="shared" si="6"/>
        <v>1.9306218449022351E-2</v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202110</v>
      </c>
      <c r="D19" s="200">
        <f>IF(Inputs!D32="","",Inputs!D32)</f>
        <v>165770</v>
      </c>
      <c r="E19" s="200">
        <f>IF(Inputs!E32="","",Inputs!E32)</f>
        <v>247000</v>
      </c>
      <c r="F19" s="200">
        <f>IF(Inputs!F32="","",Inputs!F32)</f>
        <v>56000</v>
      </c>
      <c r="G19" s="200">
        <f>IF(Inputs!G32="","",Inputs!G32)</f>
        <v>69000</v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4.7067232344920495E-2</v>
      </c>
      <c r="D20" s="153">
        <f t="shared" si="7"/>
        <v>0.10978468268322621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506463</v>
      </c>
      <c r="D21" s="200">
        <f>IF(Inputs!D33="","",Inputs!D33)</f>
        <v>1177151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-490916.33333333337</v>
      </c>
      <c r="D22" s="162">
        <f t="shared" ref="D22:M22" si="8">IF(D6="","",D14-MAX(D16,0)-MAX(D17,0)-ABS(MAX(D21,0)-MAX(D19,0)))</f>
        <v>-1106679</v>
      </c>
      <c r="E22" s="162">
        <f t="shared" si="8"/>
        <v>-627758.33333333326</v>
      </c>
      <c r="F22" s="162">
        <f t="shared" si="8"/>
        <v>-39214.666666666672</v>
      </c>
      <c r="G22" s="162">
        <f t="shared" si="8"/>
        <v>17844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-3.4216823029890292E-2</v>
      </c>
      <c r="D23" s="154">
        <f t="shared" si="9"/>
        <v>-7.7409187211659819E-2</v>
      </c>
      <c r="E23" s="154">
        <f t="shared" si="9"/>
        <v>-6.0845466295112276E-2</v>
      </c>
      <c r="F23" s="154">
        <f t="shared" si="9"/>
        <v>-6.4969204186339754E-3</v>
      </c>
      <c r="G23" s="154">
        <f t="shared" si="9"/>
        <v>3.7445669783082044E-3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0.55640584728423204</v>
      </c>
      <c r="D25" s="234">
        <f t="shared" ref="D25:M25" si="10">IF(E24="","",IF(ABS(D24+E24)=ABS(D24)+ABS(E24),IF(D24&lt;0,-1,1)*(D24-E24)/E24,"Turn"))</f>
        <v>-0.76290610771130096</v>
      </c>
      <c r="E25" s="234">
        <f t="shared" si="10"/>
        <v>-15.008253714596576</v>
      </c>
      <c r="F25" s="234" t="str">
        <f t="shared" si="10"/>
        <v>Turn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-2.3503645048586649E-2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0.8649634921177769</v>
      </c>
      <c r="D42" s="157">
        <f t="shared" si="34"/>
        <v>0.86647110650350234</v>
      </c>
      <c r="E42" s="157">
        <f t="shared" si="34"/>
        <v>0.94866452234140264</v>
      </c>
      <c r="F42" s="157">
        <f t="shared" si="34"/>
        <v>0.92880050294748251</v>
      </c>
      <c r="G42" s="157">
        <f t="shared" si="34"/>
        <v>0.89954610800626078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0.14930937614307849</v>
      </c>
      <c r="D43" s="154">
        <f t="shared" si="35"/>
        <v>0.12033870152292019</v>
      </c>
      <c r="E43" s="154">
        <f t="shared" si="35"/>
        <v>4.6455886273651797E-2</v>
      </c>
      <c r="F43" s="154">
        <f t="shared" si="35"/>
        <v>5.0511231271457777E-2</v>
      </c>
      <c r="G43" s="154">
        <f t="shared" si="35"/>
        <v>7.6004385029790331E-2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1.8079879981657027E-2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2.3437755566327548E-3</v>
      </c>
      <c r="D45" s="154">
        <f t="shared" si="37"/>
        <v>1.152824457225419E-3</v>
      </c>
      <c r="E45" s="154">
        <f t="shared" si="37"/>
        <v>1.1824848024856219E-4</v>
      </c>
      <c r="F45" s="154">
        <f t="shared" si="37"/>
        <v>1.2768079976778883E-4</v>
      </c>
      <c r="G45" s="154">
        <f t="shared" si="37"/>
        <v>1.505325438488989E-4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7.2128562067984476E-4</v>
      </c>
      <c r="D46" s="154">
        <f t="shared" ref="D46:M46" si="38">IF(D6="","",MAX(D12,0)/D6)</f>
        <v>2.8452688731520977E-3</v>
      </c>
      <c r="E46" s="154">
        <f t="shared" si="38"/>
        <v>5.3968003296655624E-2</v>
      </c>
      <c r="F46" s="154">
        <f t="shared" si="38"/>
        <v>1.6852687430480604E-2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2.8284501268352451E-2</v>
      </c>
      <c r="D47" s="154">
        <f t="shared" ref="D47:M47" si="39">IF(D6="","",ABS(MAX(D21,0)-MAX(D19,0))/D6)</f>
        <v>9.4324468277089346E-2</v>
      </c>
      <c r="E47" s="154">
        <f t="shared" si="39"/>
        <v>3.1920628001524433E-2</v>
      </c>
      <c r="F47" s="154">
        <f t="shared" si="39"/>
        <v>1.237045810898992E-2</v>
      </c>
      <c r="G47" s="154">
        <f t="shared" si="39"/>
        <v>1.9306218449022351E-2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-4.5622430706520396E-2</v>
      </c>
      <c r="D48" s="154">
        <f t="shared" si="40"/>
        <v>-0.10321224961554643</v>
      </c>
      <c r="E48" s="154">
        <f t="shared" si="40"/>
        <v>-8.112728839348303E-2</v>
      </c>
      <c r="F48" s="154">
        <f t="shared" si="40"/>
        <v>-8.6625605581786332E-3</v>
      </c>
      <c r="G48" s="154">
        <f t="shared" si="40"/>
        <v>4.9927559710776061E-3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0.26208484876421134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0.16754538114511558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0.59135389531206572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-0.77207647428568138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-5.1373316159101103E-2</v>
      </c>
      <c r="D55" s="154">
        <f t="shared" si="45"/>
        <v>-1.1169453834400038E-2</v>
      </c>
      <c r="E55" s="154">
        <f t="shared" si="45"/>
        <v>-1.4575672697826926E-3</v>
      </c>
      <c r="F55" s="154">
        <f t="shared" si="45"/>
        <v>-1.4739383223963821E-2</v>
      </c>
      <c r="G55" s="154">
        <f t="shared" si="45"/>
        <v>3.0150190540237615E-2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1.4900249344048726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-165994.00009492278</v>
      </c>
      <c r="E6" s="56">
        <f>1-D6/D3</f>
        <v>1.0375822254315259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9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9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9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9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9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9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7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9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9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9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9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8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</v>
      </c>
      <c r="E53" s="88">
        <f>IF(C53=0,0,MAX(C53,C53*Dashboard!G23))</f>
        <v>59393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635839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10"/>
      <c r="E74" s="239">
        <f>Inputs!E91</f>
        <v>10760416</v>
      </c>
      <c r="F74" s="210"/>
      <c r="H74" s="239">
        <f>Inputs!F91</f>
        <v>10760416</v>
      </c>
      <c r="I74" s="210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60">
        <f>C75/$C$74</f>
        <v>0.8649634921177769</v>
      </c>
      <c r="E75" s="239">
        <f>Inputs!E92</f>
        <v>9307367</v>
      </c>
      <c r="F75" s="161">
        <f>E75/E74</f>
        <v>0.8649634921177769</v>
      </c>
      <c r="H75" s="239">
        <f>Inputs!F92</f>
        <v>9307367</v>
      </c>
      <c r="I75" s="161">
        <f>H75/$H$74</f>
        <v>0.8649634921177769</v>
      </c>
      <c r="K75" s="24"/>
    </row>
    <row r="76" spans="1:11" ht="15" customHeight="1" x14ac:dyDescent="0.4">
      <c r="B76" s="35" t="s">
        <v>95</v>
      </c>
      <c r="C76" s="162">
        <f>C74-C75</f>
        <v>1453049</v>
      </c>
      <c r="D76" s="211"/>
      <c r="E76" s="163">
        <f>E74-E75</f>
        <v>1453049</v>
      </c>
      <c r="F76" s="211"/>
      <c r="H76" s="163">
        <f>H74-H75</f>
        <v>1453049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60">
        <f>C77/$C$74</f>
        <v>0.14930937614307849</v>
      </c>
      <c r="E77" s="239">
        <f>Inputs!E93</f>
        <v>1606631</v>
      </c>
      <c r="F77" s="161">
        <f>E77/E74</f>
        <v>0.14930937614307849</v>
      </c>
      <c r="H77" s="239">
        <f>Inputs!F93</f>
        <v>1606631</v>
      </c>
      <c r="I77" s="161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60">
        <f>C78/$C$74</f>
        <v>7.2128562067984476E-4</v>
      </c>
      <c r="E78" s="181">
        <f>E74*F78</f>
        <v>7761.3333333333321</v>
      </c>
      <c r="F78" s="161">
        <f>I78</f>
        <v>7.2128562067984476E-4</v>
      </c>
      <c r="H78" s="239">
        <f>Inputs!F97</f>
        <v>7761.3333333333321</v>
      </c>
      <c r="I78" s="161">
        <f>H78/$H$74</f>
        <v>7.2128562067984476E-4</v>
      </c>
      <c r="K78" s="24"/>
    </row>
    <row r="79" spans="1:11" ht="15" customHeight="1" x14ac:dyDescent="0.4">
      <c r="B79" s="257" t="s">
        <v>232</v>
      </c>
      <c r="C79" s="258">
        <f>C76-C77-C78</f>
        <v>-161343.33333333334</v>
      </c>
      <c r="D79" s="259">
        <f>C79/C74</f>
        <v>-1.4994153881535188E-2</v>
      </c>
      <c r="E79" s="260">
        <f>E76-E77-E78</f>
        <v>-161343.33333333334</v>
      </c>
      <c r="F79" s="259">
        <f>E79/E74</f>
        <v>-1.4994153881535188E-2</v>
      </c>
      <c r="G79" s="261"/>
      <c r="H79" s="260">
        <f>H76-H77-H78</f>
        <v>-161343.33333333334</v>
      </c>
      <c r="I79" s="259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60">
        <f>C81/$C$74</f>
        <v>2.3437755566327548E-3</v>
      </c>
      <c r="E81" s="181">
        <f>E74*F81</f>
        <v>25220</v>
      </c>
      <c r="F81" s="161">
        <f>I81</f>
        <v>2.3437755566327548E-3</v>
      </c>
      <c r="H81" s="239">
        <f>Inputs!F94</f>
        <v>25220</v>
      </c>
      <c r="I81" s="161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60">
        <f>C82/$C$74</f>
        <v>2.8284501268352451E-2</v>
      </c>
      <c r="E82" s="239">
        <f>Inputs!E95</f>
        <v>304353</v>
      </c>
      <c r="F82" s="161">
        <f>E82/E74</f>
        <v>2.8284501268352451E-2</v>
      </c>
      <c r="H82" s="239">
        <f>Inputs!F95</f>
        <v>304353</v>
      </c>
      <c r="I82" s="161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4">
        <f>C79-C81-C82-C80</f>
        <v>-490916.33333333337</v>
      </c>
      <c r="D83" s="165">
        <f>C83/$C$74</f>
        <v>-4.5622430706520396E-2</v>
      </c>
      <c r="E83" s="166">
        <f>E79-E81-E82-E80</f>
        <v>-490916.33333333337</v>
      </c>
      <c r="F83" s="165">
        <f>E83/E74</f>
        <v>-4.5622430706520396E-2</v>
      </c>
      <c r="H83" s="166">
        <f>H79-H81-H82-H80</f>
        <v>-490916.33333333337</v>
      </c>
      <c r="I83" s="165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-368187.25</v>
      </c>
      <c r="D85" s="259">
        <f>C85/$C$74</f>
        <v>-3.4216823029890292E-2</v>
      </c>
      <c r="E85" s="265">
        <f>E83*(1-F84)</f>
        <v>-368187.25</v>
      </c>
      <c r="F85" s="259">
        <f>E85/E74</f>
        <v>-3.4216823029890292E-2</v>
      </c>
      <c r="G85" s="261"/>
      <c r="H85" s="265">
        <f>H83*(1-I84)</f>
        <v>-368187.25</v>
      </c>
      <c r="I85" s="259">
        <f>H85/$H$74</f>
        <v>-3.4216823029890292E-2</v>
      </c>
      <c r="K85" s="24"/>
    </row>
    <row r="86" spans="1:11" ht="15" customHeight="1" x14ac:dyDescent="0.4">
      <c r="B86" s="87" t="s">
        <v>160</v>
      </c>
      <c r="C86" s="168">
        <f>C85*Data!C4/Common_Shares</f>
        <v>-0.46513236915389783</v>
      </c>
      <c r="D86" s="210"/>
      <c r="E86" s="169">
        <f>E85*Data!C4/Common_Shares</f>
        <v>-0.46513236915389783</v>
      </c>
      <c r="F86" s="210"/>
      <c r="H86" s="169">
        <f>H85*Data!C4/Common_Shares</f>
        <v>-0.46513236915389783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-8.425823231123418E-2</v>
      </c>
      <c r="D87" s="210"/>
      <c r="E87" s="263">
        <f>E86*Exchange_Rate/Dashboard!G3</f>
        <v>-8.425823231123418E-2</v>
      </c>
      <c r="F87" s="210"/>
      <c r="H87" s="263">
        <f>H86*Exchange_Rate/Dashboard!G3</f>
        <v>-8.425823231123418E-2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0.15820000000000001</v>
      </c>
      <c r="D88" s="167">
        <f>C88/C86</f>
        <v>-0.3401182340583494</v>
      </c>
      <c r="E88" s="171">
        <f>Inputs!E98</f>
        <v>0.15820000000000001</v>
      </c>
      <c r="F88" s="167">
        <f>E88/E86</f>
        <v>-0.3401182340583494</v>
      </c>
      <c r="H88" s="171">
        <f>Inputs!F98</f>
        <v>0.15820000000000001</v>
      </c>
      <c r="I88" s="167">
        <f>H88/H86</f>
        <v>-0.3401182340583494</v>
      </c>
      <c r="K88" s="24"/>
    </row>
    <row r="89" spans="1:11" ht="15" customHeight="1" x14ac:dyDescent="0.4">
      <c r="B89" s="87" t="s">
        <v>221</v>
      </c>
      <c r="C89" s="262">
        <f>C88*Exchange_Rate/Dashboard!G3</f>
        <v>2.8657761178575124E-2</v>
      </c>
      <c r="D89" s="210"/>
      <c r="E89" s="262">
        <f>E88*Exchange_Rate/Dashboard!G3</f>
        <v>2.8657761178575124E-2</v>
      </c>
      <c r="F89" s="210"/>
      <c r="H89" s="262">
        <f>H88*Exchange_Rate/Dashboard!G3</f>
        <v>2.8657761178575124E-2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-4.4613538418305341</v>
      </c>
      <c r="H93" s="87" t="s">
        <v>209</v>
      </c>
      <c r="I93" s="144">
        <f>FV(H87,D93,0,-(H86/C93))*Exchange_Rate</f>
        <v>-4.4613538418305341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2.7138510349225409</v>
      </c>
      <c r="H94" s="87" t="s">
        <v>210</v>
      </c>
      <c r="I94" s="144">
        <f>FV(H89,D93,0,-(H88/C93))*Exchange_Rate</f>
        <v>2.7138510349225409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-1755778.1876886</v>
      </c>
      <c r="D97" s="214"/>
      <c r="E97" s="123">
        <f>PV(C94,D93,0,-F93)</f>
        <v>-2.2180813380917881</v>
      </c>
      <c r="F97" s="214"/>
      <c r="H97" s="123">
        <f>PV(C94,D93,0,-I93)</f>
        <v>-2.2180813380917881</v>
      </c>
      <c r="I97" s="123">
        <f>PV(C93,D93,0,-I93)</f>
        <v>-3.1513217207019393</v>
      </c>
      <c r="K97" s="24"/>
    </row>
    <row r="98" spans="2:11" ht="15" customHeight="1" x14ac:dyDescent="0.4">
      <c r="B98" s="28" t="s">
        <v>144</v>
      </c>
      <c r="C98" s="91">
        <f>E53*Exchange_Rate</f>
        <v>63693.153130849205</v>
      </c>
      <c r="D98" s="214"/>
      <c r="E98" s="214"/>
      <c r="F98" s="214"/>
      <c r="H98" s="123">
        <f>C98*Data!$C$4/Common_Shares</f>
        <v>8.0463805345334191E-2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-1819471.3408194492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1068043.6075426918</v>
      </c>
      <c r="D103" s="109">
        <f>MIN(F103*(1-C94),E103)</f>
        <v>1.146874057984373</v>
      </c>
      <c r="E103" s="123">
        <f>PV(C94,D93,0,-F94)</f>
        <v>1.3492635976286742</v>
      </c>
      <c r="F103" s="109">
        <f>(E103+H103)/2</f>
        <v>1.3492635976286742</v>
      </c>
      <c r="H103" s="123">
        <f>PV(C94,D93,0,-I94)</f>
        <v>1.3492635976286742</v>
      </c>
      <c r="I103" s="109">
        <f>PV(C93,D93,0,-I94)</f>
        <v>1.9169557081336073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534021.80377134588</v>
      </c>
      <c r="D106" s="109">
        <f>(D100+D103)/2</f>
        <v>0.57343702899218651</v>
      </c>
      <c r="E106" s="123">
        <f>(E100+E103)/2</f>
        <v>0.6746317988143371</v>
      </c>
      <c r="F106" s="109">
        <f>(F100+F103)/2</f>
        <v>0.6746317988143371</v>
      </c>
      <c r="H106" s="123">
        <f>(H100+H103)/2</f>
        <v>0.6746317988143371</v>
      </c>
      <c r="I106" s="123">
        <f>(I100+I103)/2</f>
        <v>0.95847785406680364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