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DCD1DF-BC02-4B06-91CD-8A6CD7E904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3" i="4" l="1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<sst xmlns="http://schemas.openxmlformats.org/spreadsheetml/2006/main" count="390" uniqueCount="270">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</sst>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183020977818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266</v>
      </c>
      <c r="D18" s="24"/>
    </row>
    <row r="19" spans="2:13" ht="13.9" x14ac:dyDescent="0.4">
      <c r="B19" s="241" t="s">
        <v>239</v>
      </c>
      <c r="C19" s="243" t="s">
        <v>267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105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103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106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110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109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104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107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8.6021525337096838E-2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71887</v>
      </c>
      <c r="D72" s="249">
        <v>0</v>
      </c>
      <c r="E72" s="250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207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0857.HK</v>
      </c>
      <c r="D3" s="277"/>
      <c r="E3" s="87"/>
      <c r="F3" s="3" t="s">
        <v>1</v>
      </c>
      <c r="G3" s="132">
        <v>5.61</v>
      </c>
      <c r="H3" s="134" t="s">
        <v>269</v>
      </c>
    </row>
    <row r="4" spans="1:10" ht="15.75" customHeight="1" x14ac:dyDescent="0.4">
      <c r="B4" s="35" t="s">
        <v>195</v>
      </c>
      <c r="C4" s="278" t="str">
        <f>Inputs!C5</f>
        <v>中國石油股份</v>
      </c>
      <c r="D4" s="279"/>
      <c r="E4" s="87"/>
      <c r="F4" s="3" t="s">
        <v>2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1026747.6855589801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C0013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0.86263355974668987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0.57052501651825915</v>
      </c>
    </row>
    <row r="24" spans="1:8" ht="15.75" customHeight="1" x14ac:dyDescent="0.4">
      <c r="B24" s="137" t="s">
        <v>170</v>
      </c>
      <c r="C24" s="172">
        <f>Fin_Analysis!I81</f>
        <v>7.9916652607163307E-3</v>
      </c>
      <c r="F24" s="140" t="s">
        <v>259</v>
      </c>
      <c r="G24" s="269">
        <f>G3/(Fin_Analysis!H86*G7)</f>
        <v>8.5105252074684277</v>
      </c>
    </row>
    <row r="25" spans="1:8" ht="15.75" customHeight="1" x14ac:dyDescent="0.4">
      <c r="B25" s="137" t="s">
        <v>243</v>
      </c>
      <c r="C25" s="172">
        <f>Fin_Analysis!I82</f>
        <v>0.02</v>
      </c>
      <c r="F25" s="140" t="s">
        <v>174</v>
      </c>
      <c r="G25" s="172">
        <f>Fin_Analysis!I88</f>
        <v>0.73208835976624664</v>
      </c>
    </row>
    <row r="26" spans="1:8" ht="15.75" customHeight="1" x14ac:dyDescent="0.4">
      <c r="B26" s="138" t="s">
        <v>173</v>
      </c>
      <c r="C26" s="172">
        <f>Fin_Analysis!I83</f>
        <v>4.9816835181438444E-2</v>
      </c>
      <c r="F26" s="141" t="s">
        <v>193</v>
      </c>
      <c r="G26" s="179">
        <f>Fin_Analysis!H88*Exchange_Rate/G3</f>
        <v>8.6021525337096838E-2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4.1218223005630907</v>
      </c>
      <c r="D29" s="129">
        <f>G29*(1+G20)</f>
        <v>11.692512685833728</v>
      </c>
      <c r="E29" s="87"/>
      <c r="F29" s="131">
        <f>IF(Fin_Analysis!C108="Profit",Fin_Analysis!F100,IF(Fin_Analysis!C108="Dividend",Fin_Analysis!F103,Fin_Analysis!F106))</f>
        <v>5.4757844128385038</v>
      </c>
      <c r="G29" s="273">
        <f>IF(Fin_Analysis!C108="Profit",Fin_Analysis!I100,IF(Fin_Analysis!C108="Dividend",Fin_Analysis!I103,Fin_Analysis!I106))</f>
        <v>10.167402335507591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-696918.24974416092</v>
      </c>
      <c r="E6" s="56">
        <f>1-D6/D3</f>
        <v>1.415288862066904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6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6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8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95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232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125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160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0.14074213651026568</v>
      </c>
      <c r="D87" s="210"/>
      <c r="E87" s="263">
        <f>E86*Exchange_Rate/Dashboard!G3</f>
        <v>8.8333188211245015E-2</v>
      </c>
      <c r="F87" s="210"/>
      <c r="H87" s="263">
        <f>H86*Exchange_Rate/Dashboard!G3</f>
        <v>0.11750156137513677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221</v>
      </c>
      <c r="C89" s="262">
        <f>C88*Exchange_Rate/Dashboard!G3</f>
        <v>8.6021525337096838E-2</v>
      </c>
      <c r="D89" s="210"/>
      <c r="E89" s="262">
        <f>E88*Exchange_Rate/Dashboard!G3</f>
        <v>6.8817220269677487E-2</v>
      </c>
      <c r="F89" s="210"/>
      <c r="H89" s="262">
        <f>H88*Exchange_Rate/Dashboard!G3</f>
        <v>8.6021525337096838E-2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10.50905428589898</v>
      </c>
      <c r="H93" s="87" t="s">
        <v>209</v>
      </c>
      <c r="I93" s="144">
        <f>FV(H87,D93,0,-(H86/C93))*Exchange_Rate</f>
        <v>15.955657138154644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7.4790201394470968</v>
      </c>
      <c r="H94" s="87" t="s">
        <v>210</v>
      </c>
      <c r="I94" s="144">
        <f>FV(H89,D93,0,-(H88/C93))*Exchange_Rate</f>
        <v>10.125807576050976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1451865.4316111195</v>
      </c>
      <c r="D97" s="214"/>
      <c r="E97" s="123">
        <f>PV(C94,D93,0,-F93)</f>
        <v>5.2248573009357564</v>
      </c>
      <c r="F97" s="214"/>
      <c r="H97" s="123">
        <f>PV(C94,D93,0,-I93)</f>
        <v>7.9327815254865808</v>
      </c>
      <c r="I97" s="123">
        <f>PV(C93,D93,0,-I93)</f>
        <v>11.270437335880256</v>
      </c>
      <c r="K97" s="24"/>
    </row>
    <row r="98" spans="2:11" ht="15" customHeight="1" x14ac:dyDescent="0.4">
      <c r="B98" s="28" t="s">
        <v>144</v>
      </c>
      <c r="C98" s="91">
        <f>E53*Exchange_Rate</f>
        <v>201878.5443356832</v>
      </c>
      <c r="D98" s="214"/>
      <c r="E98" s="214"/>
      <c r="F98" s="214"/>
      <c r="H98" s="123">
        <f>C98*Data!$C$4/Common_Shares</f>
        <v>1.1030350003726652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1249986.8872754364</v>
      </c>
      <c r="D100" s="109">
        <f>MIN(F100*(1-C94),E100)</f>
        <v>4.1218223005630907</v>
      </c>
      <c r="E100" s="109">
        <f>MAX(E97-H98+E99,0)</f>
        <v>4.1218223005630907</v>
      </c>
      <c r="F100" s="109">
        <f>(E100+H100)/2</f>
        <v>5.4757844128385038</v>
      </c>
      <c r="H100" s="109">
        <f>MAX(C100*Data!$C$4/Common_Shares,0)</f>
        <v>6.829746525113916</v>
      </c>
      <c r="I100" s="109">
        <f>MAX(I97-H98+H99,0)</f>
        <v>10.167402335507591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921385.42834812251</v>
      </c>
      <c r="D103" s="109">
        <f>MIN(F103*(1-C94),E103)</f>
        <v>3.7183948161604685</v>
      </c>
      <c r="E103" s="123">
        <f>PV(C94,D93,0,-F94)</f>
        <v>3.7183948161604685</v>
      </c>
      <c r="F103" s="109">
        <f>(E103+H103)/2</f>
        <v>4.3763553845400915</v>
      </c>
      <c r="H103" s="123">
        <f>PV(C94,D93,0,-I94)</f>
        <v>5.0343159529197141</v>
      </c>
      <c r="I103" s="109">
        <f>PV(C93,D93,0,-I94)</f>
        <v>7.1524650331175845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717462.10150408326</v>
      </c>
      <c r="D106" s="109">
        <f>(D100+D103)/2</f>
        <v>3.9201085583617798</v>
      </c>
      <c r="E106" s="123">
        <f>(E100+E103)/2</f>
        <v>3.9201085583617798</v>
      </c>
      <c r="F106" s="109">
        <f>(F100+F103)/2</f>
        <v>4.9260698986892972</v>
      </c>
      <c r="H106" s="123">
        <f>(H100+H103)/2</f>
        <v>5.9320312390168155</v>
      </c>
      <c r="I106" s="123">
        <f>(I100+I103)/2</f>
        <v>8.6599336843125876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