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706C505-D7DB-41C1-8755-78C37BF3F5A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<sst xmlns="http://schemas.openxmlformats.org/spreadsheetml/2006/main" count="390" uniqueCount="268">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</sst>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45591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1462217799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3.6796993198482668E-2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949.6</v>
      </c>
      <c r="D72" s="249">
        <v>0</v>
      </c>
      <c r="E72" s="250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207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1910.HK</v>
      </c>
      <c r="D3" s="277"/>
      <c r="E3" s="87"/>
      <c r="F3" s="3" t="s">
        <v>1</v>
      </c>
      <c r="G3" s="132">
        <v>21.7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SAMSONITE</v>
      </c>
      <c r="D4" s="279"/>
      <c r="E4" s="87"/>
      <c r="F4" s="3" t="s">
        <v>2</v>
      </c>
      <c r="G4" s="282">
        <f>Inputs!C10</f>
        <v>1462217799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45591</v>
      </c>
      <c r="D5" s="281"/>
      <c r="E5" s="34"/>
      <c r="F5" s="35" t="s">
        <v>99</v>
      </c>
      <c r="G5" s="274">
        <f>G3*G4/1000000</f>
        <v>31730.126238299999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C0001</v>
      </c>
      <c r="E7" s="87"/>
      <c r="F7" s="35" t="s">
        <v>5</v>
      </c>
      <c r="G7" s="133">
        <v>7.782599925994873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0.40723441233977836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2.5370628007791356</v>
      </c>
    </row>
    <row r="24" spans="1:8" ht="15.75" customHeight="1" x14ac:dyDescent="0.4">
      <c r="B24" s="137" t="s">
        <v>170</v>
      </c>
      <c r="C24" s="172">
        <f>Fin_Analysis!I81</f>
        <v>4.6980230284597004E-2</v>
      </c>
      <c r="F24" s="140" t="s">
        <v>259</v>
      </c>
      <c r="G24" s="269">
        <f>G3/(Fin_Analysis!H86*G7)</f>
        <v>12.185787703361189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0.44840034723873545</v>
      </c>
    </row>
    <row r="26" spans="1:8" ht="15.75" customHeight="1" x14ac:dyDescent="0.4">
      <c r="B26" s="138" t="s">
        <v>173</v>
      </c>
      <c r="C26" s="172">
        <f>Fin_Analysis!I83</f>
        <v>0.12114381924831638</v>
      </c>
      <c r="F26" s="141" t="s">
        <v>193</v>
      </c>
      <c r="G26" s="179">
        <f>Fin_Analysis!H88*Exchange_Rate/G3</f>
        <v>3.6796993198482668E-2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15.443989280790463</v>
      </c>
      <c r="D29" s="129">
        <f>G29*(1+G20)</f>
        <v>31.448440813814258</v>
      </c>
      <c r="E29" s="87"/>
      <c r="F29" s="131">
        <f>IF(Fin_Analysis!C108="Profit",Fin_Analysis!F100,IF(Fin_Analysis!C108="Dividend",Fin_Analysis!F103,Fin_Analysis!F106))</f>
        <v>18.169399153871133</v>
      </c>
      <c r="G29" s="273">
        <f>IF(Fin_Analysis!C108="Profit",Fin_Analysis!I100,IF(Fin_Analysis!C108="Dividend",Fin_Analysis!I103,Fin_Analysis!I106))</f>
        <v>27.346470272881966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-18602.303008633116</v>
      </c>
      <c r="E6" s="56">
        <f>1-D6/D3</f>
        <v>12.575795276062919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2.5370628007791356</v>
      </c>
      <c r="E53" s="88">
        <f>IF(C53=0,0,MAX(C53,C53*Dashboard!G23))</f>
        <v>324.99774477980822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2453.6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95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232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160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8.2062811559089566E-2</v>
      </c>
      <c r="D87" s="210"/>
      <c r="E87" s="263">
        <f>E86*Exchange_Rate/Dashboard!G3</f>
        <v>8.2062811559089566E-2</v>
      </c>
      <c r="F87" s="210"/>
      <c r="H87" s="263">
        <f>H86*Exchange_Rate/Dashboard!G3</f>
        <v>8.2062811559089566E-2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221</v>
      </c>
      <c r="C89" s="262">
        <f>C88*Exchange_Rate/Dashboard!G3</f>
        <v>3.6796993198482668E-2</v>
      </c>
      <c r="D89" s="210"/>
      <c r="E89" s="262">
        <f>E88*Exchange_Rate/Dashboard!G3</f>
        <v>3.6796993198482668E-2</v>
      </c>
      <c r="F89" s="210"/>
      <c r="H89" s="262">
        <f>H88*Exchange_Rate/Dashboard!G3</f>
        <v>3.6796993198482668E-2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40.024373963456092</v>
      </c>
      <c r="H93" s="87" t="s">
        <v>209</v>
      </c>
      <c r="I93" s="144">
        <f>FV(H87,D93,0,-(H86/C93))*Exchange_Rate</f>
        <v>40.024373963456092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14.494284313785982</v>
      </c>
      <c r="H94" s="87" t="s">
        <v>210</v>
      </c>
      <c r="I94" s="144">
        <f>FV(H89,D93,0,-(H88/C93))*Exchange_Rate</f>
        <v>14.494284313785982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29096.946264397749</v>
      </c>
      <c r="D97" s="214"/>
      <c r="E97" s="123">
        <f>PV(C94,D93,0,-F93)</f>
        <v>19.899187579508975</v>
      </c>
      <c r="F97" s="214"/>
      <c r="H97" s="123">
        <f>PV(C94,D93,0,-I93)</f>
        <v>19.899187579508975</v>
      </c>
      <c r="I97" s="123">
        <f>PV(C93,D93,0,-I93)</f>
        <v>29.076258698519805</v>
      </c>
      <c r="K97" s="24"/>
    </row>
    <row r="98" spans="2:11" ht="15" customHeight="1" x14ac:dyDescent="0.4">
      <c r="B98" s="28" t="s">
        <v>144</v>
      </c>
      <c r="C98" s="91">
        <f>E53*Exchange_Rate</f>
        <v>2529.3274244718359</v>
      </c>
      <c r="D98" s="214"/>
      <c r="E98" s="214"/>
      <c r="F98" s="214"/>
      <c r="H98" s="123">
        <f>C98*Data!$C$4/Common_Shares</f>
        <v>1.7297884256378391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26567.618839925912</v>
      </c>
      <c r="D100" s="109">
        <f>MIN(F100*(1-C94),E100)</f>
        <v>15.443989280790463</v>
      </c>
      <c r="E100" s="109">
        <f>MAX(E97-H98+E99,0)</f>
        <v>18.169399153871137</v>
      </c>
      <c r="F100" s="109">
        <f>(E100+H100)/2</f>
        <v>18.169399153871133</v>
      </c>
      <c r="H100" s="109">
        <f>MAX(C100*Data!$C$4/Common_Shares,0)</f>
        <v>18.169399153871133</v>
      </c>
      <c r="I100" s="109">
        <f>MAX(I97-H98+H99,0)</f>
        <v>27.346470272881966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10537.064544824598</v>
      </c>
      <c r="D103" s="109">
        <f>MIN(F103*(1-C94),E103)</f>
        <v>6.1252878122713295</v>
      </c>
      <c r="E103" s="123">
        <f>PV(C94,D93,0,-F94)</f>
        <v>7.206220955613329</v>
      </c>
      <c r="F103" s="109">
        <f>(E103+H103)/2</f>
        <v>7.206220955613329</v>
      </c>
      <c r="H103" s="123">
        <f>PV(C94,D93,0,-I94)</f>
        <v>7.206220955613329</v>
      </c>
      <c r="I103" s="109">
        <f>PV(C93,D93,0,-I94)</f>
        <v>10.52957282335835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18552.341692375256</v>
      </c>
      <c r="D106" s="109">
        <f>(D100+D103)/2</f>
        <v>10.784638546530896</v>
      </c>
      <c r="E106" s="123">
        <f>(E100+E103)/2</f>
        <v>12.687810054742233</v>
      </c>
      <c r="F106" s="109">
        <f>(F100+F103)/2</f>
        <v>12.687810054742231</v>
      </c>
      <c r="H106" s="123">
        <f>(H100+H103)/2</f>
        <v>12.687810054742231</v>
      </c>
      <c r="I106" s="123">
        <f>(I100+I103)/2</f>
        <v>18.938021548120158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