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98CB921-4821-4FA3-B073-D76C34351C3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<sst xmlns="http://schemas.openxmlformats.org/spreadsheetml/2006/main" count="390" uniqueCount="267">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</sst>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4373586962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2.2503516174402254E-2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/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208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0027.HK</v>
      </c>
      <c r="D3" s="278"/>
      <c r="E3" s="87"/>
      <c r="F3" s="3" t="s">
        <v>1</v>
      </c>
      <c r="G3" s="132">
        <v>35.549999999999997</v>
      </c>
      <c r="H3" s="134" t="s">
        <v>266</v>
      </c>
    </row>
    <row r="4" spans="1:10" ht="15.75" customHeight="1" x14ac:dyDescent="0.4">
      <c r="B4" s="35" t="s">
        <v>196</v>
      </c>
      <c r="C4" s="279" t="str">
        <f>Inputs!C5</f>
        <v>銀河娛樂</v>
      </c>
      <c r="D4" s="280"/>
      <c r="E4" s="87"/>
      <c r="F4" s="3" t="s">
        <v>3</v>
      </c>
      <c r="G4" s="283">
        <f>Inputs!C10</f>
        <v>4373586962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45603</v>
      </c>
      <c r="D5" s="282"/>
      <c r="E5" s="34"/>
      <c r="F5" s="35" t="s">
        <v>100</v>
      </c>
      <c r="G5" s="275">
        <f>G3*G4/1000000</f>
        <v>155481.01649909996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0.47272944175123971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260</v>
      </c>
      <c r="G24" s="268">
        <f>G3/(Fin_Analysis!H86*G7)</f>
        <v>32.647425857139645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0.45917617239296266</v>
      </c>
    </row>
    <row r="26" spans="1:8" ht="15.75" customHeight="1" x14ac:dyDescent="0.4">
      <c r="B26" s="138" t="s">
        <v>174</v>
      </c>
      <c r="C26" s="171">
        <f>Fin_Analysis!I83</f>
        <v>0.17445779619528262</v>
      </c>
      <c r="F26" s="141" t="s">
        <v>194</v>
      </c>
      <c r="G26" s="178">
        <f>Fin_Analysis!H88*Exchange_Rate/G3</f>
        <v>1.4064697609001408E-2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8.1075745737157998</v>
      </c>
      <c r="D29" s="129">
        <f>G29*(1+G20)</f>
        <v>16.027767908681671</v>
      </c>
      <c r="E29" s="87"/>
      <c r="F29" s="131">
        <f>IF(Fin_Analysis!C108="Profit",Fin_Analysis!F100,IF(Fin_Analysis!C108="Dividend",Fin_Analysis!F103,Fin_Analysis!F106))</f>
        <v>9.5383230279009403</v>
      </c>
      <c r="G29" s="274">
        <f>IF(Fin_Analysis!C108="Profit",Fin_Analysis!I100,IF(Fin_Analysis!C108="Dividend",Fin_Analysis!I103,Fin_Analysis!I106))</f>
        <v>13.937189485810151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96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233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161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3.0630286270527229E-2</v>
      </c>
      <c r="D87" s="209"/>
      <c r="E87" s="262">
        <f>E86*Exchange_Rate/Dashboard!G3</f>
        <v>3.0630286270527229E-2</v>
      </c>
      <c r="F87" s="209"/>
      <c r="H87" s="262">
        <f>H86*Exchange_Rate/Dashboard!G3</f>
        <v>3.0630286270527229E-2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222</v>
      </c>
      <c r="C89" s="261">
        <f>C88*Exchange_Rate/Dashboard!G3</f>
        <v>2.2503516174402254E-2</v>
      </c>
      <c r="D89" s="209"/>
      <c r="E89" s="261">
        <f>E88*Exchange_Rate/Dashboard!G3</f>
        <v>1.4064697609001408E-2</v>
      </c>
      <c r="F89" s="209"/>
      <c r="H89" s="261">
        <f>H88*Exchange_Rate/Dashboard!G3</f>
        <v>1.4064697609001408E-2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19.184974578865312</v>
      </c>
      <c r="H93" s="87" t="s">
        <v>210</v>
      </c>
      <c r="I93" s="144">
        <f>FV(H87,D93,0,-(H86/(C93-D94)))*Exchange_Rate</f>
        <v>19.184974578865312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8.1237095728914355</v>
      </c>
      <c r="H94" s="87" t="s">
        <v>211</v>
      </c>
      <c r="I94" s="144">
        <f>FV(H89,D93,0,-(H88/(C93-D94)))*Exchange_Rate</f>
        <v>8.1237095728914355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41716685.234171912</v>
      </c>
      <c r="D97" s="213"/>
      <c r="E97" s="123">
        <f>PV(C94,D93,0,-F93)</f>
        <v>9.5383230279009403</v>
      </c>
      <c r="F97" s="213"/>
      <c r="H97" s="123">
        <f>PV(C94,D93,0,-I93)</f>
        <v>9.5383230279009403</v>
      </c>
      <c r="I97" s="123">
        <f>PV(C93,D93,0,-I93)</f>
        <v>13.937189485810151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41716685.234171912</v>
      </c>
      <c r="D100" s="109">
        <f>MIN(F100*(1-C94),E100)</f>
        <v>8.1075745737157998</v>
      </c>
      <c r="E100" s="109">
        <f>MAX(E97-H98+E99,0)</f>
        <v>9.5383230279009403</v>
      </c>
      <c r="F100" s="109">
        <f>(E100+H100)/2</f>
        <v>9.5383230279009403</v>
      </c>
      <c r="H100" s="109">
        <f>MAX(C100*Data!$C$4/Common_Shares,0)</f>
        <v>9.5383230279009403</v>
      </c>
      <c r="I100" s="109">
        <f>MAX(I97-H98+H99,0)</f>
        <v>13.937189485810151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17664565.245735388</v>
      </c>
      <c r="D103" s="109">
        <f>MIN(F103*(1-C94),E103)</f>
        <v>3.4330814933673843</v>
      </c>
      <c r="E103" s="123">
        <f>PV(C94,D93,0,-F94)</f>
        <v>4.0389194039616285</v>
      </c>
      <c r="F103" s="109">
        <f>(E103+H103)/2</f>
        <v>4.0389194039616285</v>
      </c>
      <c r="H103" s="123">
        <f>PV(C94,D93,0,-I94)</f>
        <v>4.0389194039616285</v>
      </c>
      <c r="I103" s="109">
        <f>PV(C93,D93,0,-I94)</f>
        <v>5.9015809053927999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29690625.239953652</v>
      </c>
      <c r="D106" s="109">
        <f>(D100+D103)/2</f>
        <v>5.7703280335415919</v>
      </c>
      <c r="E106" s="123">
        <f>(E100+E103)/2</f>
        <v>6.7886212159312844</v>
      </c>
      <c r="F106" s="109">
        <f>(F100+F103)/2</f>
        <v>6.7886212159312844</v>
      </c>
      <c r="H106" s="123">
        <f>(H100+H103)/2</f>
        <v>6.7886212159312844</v>
      </c>
      <c r="I106" s="123">
        <f>(I100+I103)/2</f>
        <v>9.9193851956014747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