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5F348FB-8806-4D6B-A459-EFAC21D317A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32" i="4"/>
  <c r="C32" i="4"/>
  <c r="D31" i="4"/>
  <c r="C31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I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<sst xmlns="http://schemas.openxmlformats.org/spreadsheetml/2006/main" count="390" uniqueCount="267">
  <si>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</si>
  <si>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</si>
  <si>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</si>
  <si>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</si>
  <si>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</si>
  <si>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</si>
  <si>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</si>
  <si>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</si>
  <si>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</si>
  <si>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</si>
  <si>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</si>
  <si>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</si>
  <si>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</si>
  <si>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</si>
  <si>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</si>
  <si>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</si>
  <si>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</si>
  <si>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</si>
  <si>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</si>
  <si>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</si>
  <si>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</si>
  <si>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</si>
  <si>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</si>
  <si>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</si>
  <si>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</si>
  <si>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</si>
  <si>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</si>
  <si>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</si>
  <si>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</si>
  <si>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</si>
  <si>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</si>
  <si>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</si>
  <si>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</si>
  <si>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</si>
  <si>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</si>
  <si>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</si>
  <si>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</si>
  <si>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</si>
  <si>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</si>
  <si>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</si>
  <si>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</si>
  <si>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</si>
  <si>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</si>
  <si>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</si>
  <si>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</si>
  <si>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</si>
  <si>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</si>
  <si>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</si>
  <si>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</si>
  <si>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</si>
  <si>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</si>
  <si>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</si>
  <si>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</si>
  <si>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</si>
  <si>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</si>
  <si>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</si>
  <si>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</si>
  <si>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</si>
  <si>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</si>
  <si>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</si>
  <si>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</si>
  <si>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</si>
  <si>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</si>
  <si>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</si>
  <si>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</si>
  <si>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</si>
  <si>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</si>
  <si>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</si>
  <si>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</si>
  <si>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</si>
  <si>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</si>
  <si>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</si>
  <si>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</si>
  <si>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</si>
  <si>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</si>
  <si>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</si>
  <si>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</si>
  <si>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</si>
  <si>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</si>
  <si>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</si>
  <si>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</si>
  <si>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</si>
  <si>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</si>
  <si>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</si>
  <si>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</si>
  <si>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</si>
  <si>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</si>
  <si>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</si>
  <si>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</si>
  <si>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</si>
  <si>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</si>
  <si>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</si>
  <si>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</si>
  <si>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</si>
  <si>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</si>
  <si>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</si>
  <si>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</si>
  <si>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</si>
  <si>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</si>
  <si>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</si>
  <si>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</si>
  <si>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</si>
  <si>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</si>
  <si>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</si>
  <si>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</si>
  <si>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</si>
  <si>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</si>
  <si>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</si>
  <si>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</si>
  <si>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</si>
  <si>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</si>
  <si>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</si>
  <si>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</si>
  <si>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</si>
  <si>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</si>
  <si>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</si>
  <si>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</si>
  <si>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</si>
  <si>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</si>
  <si>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</si>
  <si>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</si>
  <si>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</si>
  <si>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</si>
  <si>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</si>
  <si>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</si>
  <si>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</si>
  <si>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</si>
  <si>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</si>
  <si>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</si>
  <si>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</si>
  <si>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</si>
  <si>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</si>
  <si>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</si>
  <si>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</si>
  <si>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</si>
  <si>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</si>
  <si>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</si>
  <si>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</si>
  <si>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</si>
  <si>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</si>
  <si>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</si>
  <si>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</si>
  <si>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</si>
  <si>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</si>
  <si>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</si>
  <si>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</si>
  <si>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</si>
  <si>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</si>
  <si>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</si>
  <si>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</si>
  <si>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</si>
  <si>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</si>
  <si>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</si>
  <si>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</si>
  <si>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</si>
  <si>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</si>
  <si>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</si>
  <si>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</si>
  <si>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</si>
  <si>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</si>
  <si>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</si>
  <si>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</si>
  <si>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</si>
  <si>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</si>
  <si>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</si>
  <si>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</si>
  <si>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</si>
  <si>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</si>
  <si>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</si>
  <si>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</si>
  <si>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</si>
  <si>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</si>
  <si>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</si>
  <si>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</si>
  <si>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</si>
  <si>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</si>
  <si>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</si>
  <si>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</si>
  <si>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</si>
  <si>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</si>
  <si>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</si>
  <si>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</si>
  <si>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</si>
  <si>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</si>
  <si>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</si>
  <si>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</si>
  <si>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</si>
  <si>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</si>
  <si>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</si>
  <si>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</si>
  <si>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</si>
  <si>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</si>
  <si>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</si>
  <si>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</si>
  <si>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</si>
  <si>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</si>
  <si>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</si>
  <si>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</si>
  <si>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</si>
  <si>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</si>
  <si>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</si>
  <si>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</si>
  <si>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</si>
  <si>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</si>
  <si>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</si>
  <si>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</si>
  <si>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</si>
  <si>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</si>
  <si>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</si>
  <si>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</si>
  <si>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</si>
  <si>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</si>
  <si>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</si>
  <si>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</si>
  <si>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</si>
  <si>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</si>
  <si>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</si>
  <si>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</si>
  <si>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</si>
  <si>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</si>
  <si>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</si>
  <si>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</si>
  <si>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</si>
  <si>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</si>
  <si>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</si>
  <si>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</si>
  <si>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</si>
  <si>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</si>
  <si>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</si>
  <si>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</si>
  <si>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</si>
  <si>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</si>
  <si>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</si>
  <si>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</si>
  <si>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</si>
  <si>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</si>
  <si>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</si>
  <si>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</si>
  <si>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</si>
  <si>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</si>
  <si>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</si>
  <si>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</si>
  <si>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</si>
  <si>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</si>
  <si>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</si>
  <si>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</si>
  <si>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</si>
  <si>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</si>
  <si>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</si>
  <si>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</si>
  <si>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</si>
  <si>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</si>
  <si>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</si>
  <si>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</si>
  <si>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</si>
  <si>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</si>
  <si>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</si>
  <si>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</si>
  <si>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</si>
  <si>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</si>
  <si>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</si>
  <si>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0220.HK</t>
  </si>
  <si>
    <t>统一中国</t>
  </si>
  <si>
    <t>C0002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</si>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</sst>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4319334000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6.3968589897732533E-2</v>
      </c>
      <c r="D45" s="152">
        <f>IF(D44="","",D44*Exchange_Rate/Dashboard!$G$3)</f>
        <v>5.11598027568438E-2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0220.HK</v>
      </c>
      <c r="D3" s="278"/>
      <c r="E3" s="87"/>
      <c r="F3" s="3" t="s">
        <v>1</v>
      </c>
      <c r="G3" s="132">
        <v>7.11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统一中国</v>
      </c>
      <c r="D4" s="280"/>
      <c r="E4" s="87"/>
      <c r="F4" s="3" t="s">
        <v>2</v>
      </c>
      <c r="G4" s="283">
        <f>Inputs!C10</f>
        <v>4319334000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30710.464739999999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0.69530102386843873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2.0677989446499247E-3</v>
      </c>
      <c r="F24" s="140" t="s">
        <v>260</v>
      </c>
      <c r="G24" s="268">
        <f>G3/(Fin_Analysis!H86*G7)</f>
        <v>29.830208663871169</v>
      </c>
    </row>
    <row r="25" spans="1:8" ht="15.75" customHeight="1" x14ac:dyDescent="0.4">
      <c r="B25" s="137" t="s">
        <v>243</v>
      </c>
      <c r="C25" s="171">
        <f>Fin_Analysis!I82</f>
        <v>9.6644881579416319E-4</v>
      </c>
      <c r="F25" s="140" t="s">
        <v>174</v>
      </c>
      <c r="G25" s="171">
        <f>Fin_Analysis!I88</f>
        <v>1.9081963845829624</v>
      </c>
    </row>
    <row r="26" spans="1:8" ht="15.75" customHeight="1" x14ac:dyDescent="0.4">
      <c r="B26" s="138" t="s">
        <v>173</v>
      </c>
      <c r="C26" s="171">
        <f>Fin_Analysis!I83</f>
        <v>4.4810180002141216E-2</v>
      </c>
      <c r="F26" s="141" t="s">
        <v>193</v>
      </c>
      <c r="G26" s="178">
        <f>Fin_Analysis!H88*Exchange_Rate/G3</f>
        <v>6.3968589897732533E-2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1.6497244124509174</v>
      </c>
      <c r="D29" s="129">
        <f>G29*(1+G20)</f>
        <v>3.1710682601724467</v>
      </c>
      <c r="E29" s="87"/>
      <c r="F29" s="131">
        <f>IF(Fin_Analysis!C108="Profit",Fin_Analysis!F100,IF(Fin_Analysis!C108="Dividend",Fin_Analysis!F103,Fin_Analysis!F106))</f>
        <v>1.9408522499422558</v>
      </c>
      <c r="G29" s="274">
        <f>IF(Fin_Analysis!C108="Profit",Fin_Analysis!I100,IF(Fin_Analysis!C108="Dividend",Fin_Analysis!I103,Fin_Analysis!I106))</f>
        <v>2.7574506610195191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4.6145740645342576E-2</v>
      </c>
      <c r="D55" s="153">
        <f t="shared" si="45"/>
        <v>-0.32792445265558884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95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160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3.3523064195362107E-2</v>
      </c>
      <c r="D87" s="209"/>
      <c r="E87" s="262">
        <f>E86*Exchange_Rate/Dashboard!G3</f>
        <v>3.3523064195362107E-2</v>
      </c>
      <c r="F87" s="209"/>
      <c r="H87" s="262">
        <f>H86*Exchange_Rate/Dashboard!G3</f>
        <v>3.3523064195362107E-2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221</v>
      </c>
      <c r="C89" s="261">
        <f>C88*Exchange_Rate/Dashboard!G3</f>
        <v>6.3968589897732533E-2</v>
      </c>
      <c r="D89" s="209"/>
      <c r="E89" s="261">
        <f>E88*Exchange_Rate/Dashboard!G3</f>
        <v>6.3968589897732533E-2</v>
      </c>
      <c r="F89" s="209"/>
      <c r="H89" s="261">
        <f>H88*Exchange_Rate/Dashboard!G3</f>
        <v>6.3968589897732533E-2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3.9037471227969016</v>
      </c>
      <c r="H93" s="87" t="s">
        <v>209</v>
      </c>
      <c r="I93" s="144">
        <f>FV(H87,D93,0,-(H86/(C93-D94)))*Exchange_Rate</f>
        <v>3.9037471227969016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8.6128704923310178</v>
      </c>
      <c r="H94" s="87" t="s">
        <v>210</v>
      </c>
      <c r="I94" s="144">
        <f>FV(H89,D93,0,-(H88/(C93-D94)))*Exchange_Rate</f>
        <v>8.6128704923310178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8383189.1121520838</v>
      </c>
      <c r="D97" s="213"/>
      <c r="E97" s="123">
        <f>PV(C94,D93,0,-F93)</f>
        <v>1.9408522499422558</v>
      </c>
      <c r="F97" s="213"/>
      <c r="H97" s="123">
        <f>PV(C94,D93,0,-I93)</f>
        <v>1.9408522499422558</v>
      </c>
      <c r="I97" s="123">
        <f>PV(C93,D93,0,-I93)</f>
        <v>2.7574506610195191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8383189.1121520838</v>
      </c>
      <c r="D100" s="109">
        <f>MIN(F100*(1-C94),E100)</f>
        <v>1.6497244124509174</v>
      </c>
      <c r="E100" s="109">
        <f>MAX(E97-H98+E99,0)</f>
        <v>1.9408522499422558</v>
      </c>
      <c r="F100" s="109">
        <f>(E100+H100)/2</f>
        <v>1.9408522499422558</v>
      </c>
      <c r="H100" s="109">
        <f>MAX(C100*Data!$C$4/Common_Shares,0)</f>
        <v>1.9408522499422558</v>
      </c>
      <c r="I100" s="109">
        <f>MAX(I97-H98+H99,0)</f>
        <v>2.7574506610195191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18495901.467089429</v>
      </c>
      <c r="D103" s="109">
        <f>MIN(F103*(1-C94),E103)</f>
        <v>3.639801007985493</v>
      </c>
      <c r="E103" s="123">
        <f>PV(C94,D93,0,-F94)</f>
        <v>4.2821188329241098</v>
      </c>
      <c r="F103" s="109">
        <f>(E103+H103)/2</f>
        <v>4.2821188329241098</v>
      </c>
      <c r="H103" s="123">
        <f>PV(C94,D93,0,-I94)</f>
        <v>4.2821188329241098</v>
      </c>
      <c r="I103" s="109">
        <f>PV(C93,D93,0,-I94)</f>
        <v>6.0837868553683165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13439545.289620753</v>
      </c>
      <c r="D106" s="109">
        <f>(D100+D103)/2</f>
        <v>2.6447627102182052</v>
      </c>
      <c r="E106" s="123">
        <f>(E100+E103)/2</f>
        <v>3.1114855414331828</v>
      </c>
      <c r="F106" s="109">
        <f>(F100+F103)/2</f>
        <v>3.1114855414331828</v>
      </c>
      <c r="H106" s="123">
        <f>(H100+H103)/2</f>
        <v>3.1114855414331828</v>
      </c>
      <c r="I106" s="123">
        <f>(I100+I103)/2</f>
        <v>4.4206187581939176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