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E4F0827-F307-43DB-9B4F-40DC3386F5C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<sst xmlns="http://schemas.openxmlformats.org/spreadsheetml/2006/main" count="390" uniqueCount="267">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</sst>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0.60531106380837341</c:v>
                </c:pt>
                <c:pt idx="1">
                  <c:v>0.31327931266495485</c:v>
                </c:pt>
                <c:pt idx="2">
                  <c:v>0</c:v>
                </c:pt>
                <c:pt idx="3">
                  <c:v>0</c:v>
                </c:pt>
                <c:pt idx="4">
                  <c:v>9.0344684898005026E-3</c:v>
                </c:pt>
                <c:pt idx="5">
                  <c:v>0</c:v>
                </c:pt>
                <c:pt idx="6">
                  <c:v>7.2375155036871239E-2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587107850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1.7152361694647341E-2</v>
      </c>
      <c r="D45" s="152">
        <f>IF(D44="","",D44*Exchange_Rate/Dashboard!$G$3)</f>
        <v>1.6441132526149482E-2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3.9" x14ac:dyDescent="0.4">
      <c r="B92" s="104" t="s">
        <v>105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3.9" x14ac:dyDescent="0.4">
      <c r="B93" s="104" t="s">
        <v>247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3.9" x14ac:dyDescent="0.4">
      <c r="B94" s="104" t="s">
        <v>257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0669.HK</v>
      </c>
      <c r="D3" s="278"/>
      <c r="E3" s="87"/>
      <c r="F3" s="3" t="s">
        <v>1</v>
      </c>
      <c r="G3" s="132">
        <v>112.7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創科實業</v>
      </c>
      <c r="D4" s="280"/>
      <c r="E4" s="87"/>
      <c r="F4" s="3" t="s">
        <v>2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66167.054694999999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7.7820900281270342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0.60531106380837341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0.31327931266495485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9.0344684898005026E-3</v>
      </c>
      <c r="F24" s="140" t="s">
        <v>260</v>
      </c>
      <c r="G24" s="268">
        <f>G3/(Fin_Analysis!H86*G7)</f>
        <v>11.407214702207529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0.19566067250076241</v>
      </c>
    </row>
    <row r="26" spans="1:8" ht="15.75" customHeight="1" x14ac:dyDescent="0.4">
      <c r="B26" s="138" t="s">
        <v>173</v>
      </c>
      <c r="C26" s="171">
        <f>Fin_Analysis!I83</f>
        <v>7.2375155036871239E-2</v>
      </c>
      <c r="F26" s="141" t="s">
        <v>193</v>
      </c>
      <c r="G26" s="178">
        <f>Fin_Analysis!H88*Exchange_Rate/G3</f>
        <v>1.7152361694647341E-2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96.294946884022153</v>
      </c>
      <c r="D29" s="129">
        <f>G29*(1+G20)</f>
        <v>190.36433712734646</v>
      </c>
      <c r="E29" s="87"/>
      <c r="F29" s="131">
        <f>IF(Fin_Analysis!C108="Profit",Fin_Analysis!F100,IF(Fin_Analysis!C108="Dividend",Fin_Analysis!F103,Fin_Analysis!F106))</f>
        <v>113.28817280473194</v>
      </c>
      <c r="G29" s="274">
        <f>IF(Fin_Analysis!C108="Profit",Fin_Analysis!I100,IF(Fin_Analysis!C108="Dividend",Fin_Analysis!I103,Fin_Analysis!I106))</f>
        <v>165.53420619769258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993813</v>
      </c>
      <c r="D22" s="161">
        <f t="shared" ref="D22:M22" si="8">IF(D6="","",D14-MAX(D16,0)-MAX(D17,0)-ABS(MAX(D21,0)-MAX(D19,0)))</f>
        <v>1117525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5.4281366277653474E-2</v>
      </c>
      <c r="D23" s="153">
        <f t="shared" si="9"/>
        <v>6.3237437657109222E-2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745359.75</v>
      </c>
      <c r="D24" s="77">
        <f>IF(D6="","",D22*(1-Fin_Analysis!$I$84))</f>
        <v>838143.75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-0.11070177400952999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0.60531106380837341</v>
      </c>
      <c r="D42" s="156">
        <f t="shared" si="34"/>
        <v>0.60671422644339779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0.31327931266495485</v>
      </c>
      <c r="D43" s="153">
        <f t="shared" si="35"/>
        <v>0.3036976917842476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9.0344684898005026E-3</v>
      </c>
      <c r="D45" s="153">
        <f t="shared" si="37"/>
        <v>5.2714982295422553E-3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7.2375155036871308E-2</v>
      </c>
      <c r="D48" s="153">
        <f t="shared" si="40"/>
        <v>8.4316583542812282E-2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0.12482831277111489</v>
      </c>
      <c r="D55" s="153">
        <f t="shared" si="45"/>
        <v>6.2520301559249231E-2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4">
      <c r="B76" s="35" t="s">
        <v>95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993813</v>
      </c>
      <c r="D83" s="164">
        <f>C83/$C$74</f>
        <v>7.2375155036871308E-2</v>
      </c>
      <c r="E83" s="165">
        <f>E79-E81-E82-E80</f>
        <v>993812.99999999907</v>
      </c>
      <c r="F83" s="164">
        <f>E83/E74</f>
        <v>7.2375155036871239E-2</v>
      </c>
      <c r="H83" s="165">
        <f>H79-H81-H82-H80</f>
        <v>993812.99999999907</v>
      </c>
      <c r="I83" s="164">
        <f>H83/$H$74</f>
        <v>7.2375155036871239E-2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745359.75</v>
      </c>
      <c r="D85" s="258">
        <f>C85/$C$74</f>
        <v>5.4281366277653474E-2</v>
      </c>
      <c r="E85" s="264">
        <f>E83*(1-F84)</f>
        <v>745359.7499999993</v>
      </c>
      <c r="F85" s="258">
        <f>E85/E74</f>
        <v>5.4281366277653426E-2</v>
      </c>
      <c r="G85" s="260"/>
      <c r="H85" s="264">
        <f>H83*(1-I84)</f>
        <v>745359.7499999993</v>
      </c>
      <c r="I85" s="258">
        <f>H85/$H$74</f>
        <v>5.4281366277653426E-2</v>
      </c>
      <c r="K85" s="24"/>
    </row>
    <row r="86" spans="1:11" ht="15" customHeight="1" x14ac:dyDescent="0.4">
      <c r="B86" s="87" t="s">
        <v>160</v>
      </c>
      <c r="C86" s="167">
        <f>C85*Data!C4/Common_Shares</f>
        <v>1.2695448544930885</v>
      </c>
      <c r="D86" s="209"/>
      <c r="E86" s="168">
        <f>E85*Data!C4/Common_Shares</f>
        <v>1.2695448544930872</v>
      </c>
      <c r="F86" s="209"/>
      <c r="H86" s="168">
        <f>H85*Data!C4/Common_Shares</f>
        <v>1.2695448544930872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8.7663818566199217E-2</v>
      </c>
      <c r="D87" s="209"/>
      <c r="E87" s="262">
        <f>E86*Exchange_Rate/Dashboard!G3</f>
        <v>8.766381856619912E-2</v>
      </c>
      <c r="F87" s="209"/>
      <c r="H87" s="262">
        <f>H86*Exchange_Rate/Dashboard!G3</f>
        <v>8.766381856619912E-2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0.24840000000000001</v>
      </c>
      <c r="D88" s="166">
        <f>C88/C86</f>
        <v>0.19566067250076222</v>
      </c>
      <c r="E88" s="170">
        <f>Inputs!E98</f>
        <v>0.24840000000000001</v>
      </c>
      <c r="F88" s="166">
        <f>E88/E86</f>
        <v>0.19566067250076241</v>
      </c>
      <c r="H88" s="170">
        <f>Inputs!F98</f>
        <v>0.24840000000000001</v>
      </c>
      <c r="I88" s="166">
        <f>H88/H86</f>
        <v>0.19566067250076241</v>
      </c>
      <c r="K88" s="24"/>
    </row>
    <row r="89" spans="1:11" ht="15" customHeight="1" x14ac:dyDescent="0.4">
      <c r="B89" s="87" t="s">
        <v>221</v>
      </c>
      <c r="C89" s="261">
        <f>C88*Exchange_Rate/Dashboard!G3</f>
        <v>1.7152361694647341E-2</v>
      </c>
      <c r="D89" s="209"/>
      <c r="E89" s="261">
        <f>E88*Exchange_Rate/Dashboard!G3</f>
        <v>1.7152361694647341E-2</v>
      </c>
      <c r="F89" s="209"/>
      <c r="H89" s="261">
        <f>H88*Exchange_Rate/Dashboard!G3</f>
        <v>1.7152361694647341E-2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209</v>
      </c>
      <c r="F93" s="144">
        <f>FV(E87,D93,0,-(E86/(C93-D94)))*Exchange_Rate</f>
        <v>227.86298062953955</v>
      </c>
      <c r="H93" s="87" t="s">
        <v>209</v>
      </c>
      <c r="I93" s="144">
        <f>FV(H87,D93,0,-(H86/(C93-D94)))*Exchange_Rate</f>
        <v>227.86298062953955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31.888490800300151</v>
      </c>
      <c r="H94" s="87" t="s">
        <v>210</v>
      </c>
      <c r="I94" s="144">
        <f>FV(H89,D93,0,-(H88/(C93-D94)))*Exchange_Rate</f>
        <v>31.888490800300151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66512375.565814644</v>
      </c>
      <c r="D97" s="213"/>
      <c r="E97" s="123">
        <f>PV(C94,D93,0,-F93)</f>
        <v>113.28817280473194</v>
      </c>
      <c r="F97" s="213"/>
      <c r="H97" s="123">
        <f>PV(C94,D93,0,-I93)</f>
        <v>113.28817280473194</v>
      </c>
      <c r="I97" s="123">
        <f>PV(C93,D93,0,-I93)</f>
        <v>165.53420619769258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66512375.565814644</v>
      </c>
      <c r="D100" s="109">
        <f>MIN(F100*(1-C94),E100)</f>
        <v>96.294946884022153</v>
      </c>
      <c r="E100" s="109">
        <f>MAX(E97-H98+E99,0)</f>
        <v>113.28817280473194</v>
      </c>
      <c r="F100" s="109">
        <f>(E100+H100)/2</f>
        <v>113.28817280473194</v>
      </c>
      <c r="H100" s="109">
        <f>MAX(C100*Data!$C$4/Common_Shares,0)</f>
        <v>113.28817280473194</v>
      </c>
      <c r="I100" s="109">
        <f>MAX(I97-H98+H99,0)</f>
        <v>165.53420619769258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9308134.5222323947</v>
      </c>
      <c r="D103" s="109">
        <f>MIN(F103*(1-C94),E103)</f>
        <v>13.476083387230362</v>
      </c>
      <c r="E103" s="123">
        <f>PV(C94,D93,0,-F94)</f>
        <v>15.85421574968278</v>
      </c>
      <c r="F103" s="109">
        <f>(E103+H103)/2</f>
        <v>15.85421574968278</v>
      </c>
      <c r="H103" s="123">
        <f>PV(C94,D93,0,-I94)</f>
        <v>15.85421574968278</v>
      </c>
      <c r="I103" s="109">
        <f>PV(C93,D93,0,-I94)</f>
        <v>23.165834120515317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37910255.044023514</v>
      </c>
      <c r="D106" s="109">
        <f>(D100+D103)/2</f>
        <v>54.885515135626257</v>
      </c>
      <c r="E106" s="123">
        <f>(E100+E103)/2</f>
        <v>64.571194277207354</v>
      </c>
      <c r="F106" s="109">
        <f>(F100+F103)/2</f>
        <v>64.571194277207354</v>
      </c>
      <c r="H106" s="123">
        <f>(H100+H103)/2</f>
        <v>64.571194277207354</v>
      </c>
      <c r="I106" s="123">
        <f>(I100+I103)/2</f>
        <v>94.350020159103948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