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39148F5-591A-4CA2-9713-0D9841BE0F8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C95" i="4" s="1"/>
  <c r="D31" i="4"/>
  <c r="C31" i="4"/>
  <c r="D27" i="4"/>
  <c r="C27" i="4"/>
  <c r="D94" i="3"/>
  <c r="C7" i="1"/>
  <c r="C33" i="1"/>
  <c r="B91" i="3"/>
  <c r="C97" i="4"/>
  <c r="C94" i="4"/>
  <c r="C96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7" i="4"/>
  <c r="F96" i="4"/>
  <c r="E92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<sst xmlns="http://schemas.openxmlformats.org/spreadsheetml/2006/main" count="391" uniqueCount="268">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</sst>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260</v>
      </c>
    </row>
    <row r="5" spans="1:5" ht="13.9" x14ac:dyDescent="0.4">
      <c r="B5" s="141" t="s">
        <v>196</v>
      </c>
      <c r="C5" s="191" t="s">
        <v>261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262</v>
      </c>
    </row>
    <row r="10" spans="1:5" ht="13.9" x14ac:dyDescent="0.4">
      <c r="B10" s="140" t="s">
        <v>218</v>
      </c>
      <c r="C10" s="193">
        <v>777416974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0.16500000000000001</v>
      </c>
      <c r="D16" s="24" t="s">
        <v>263</v>
      </c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264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0.13793103448275862</v>
      </c>
      <c r="D45" s="152">
        <f>IF(D44="","",D44*Exchange_Rate/Dashboard!$G$3)</f>
        <v>0.16091954022988508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266</v>
      </c>
      <c r="D87" s="269"/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0.06</v>
      </c>
      <c r="D98" s="266"/>
      <c r="E98" s="254">
        <f>F98</f>
        <v>0.06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0831.HK</v>
      </c>
      <c r="D3" s="278"/>
      <c r="E3" s="87"/>
      <c r="F3" s="3" t="s">
        <v>1</v>
      </c>
      <c r="G3" s="132">
        <v>0.435</v>
      </c>
      <c r="H3" s="134" t="s">
        <v>267</v>
      </c>
    </row>
    <row r="4" spans="1:10" ht="15.75" customHeight="1" x14ac:dyDescent="0.4">
      <c r="B4" s="35" t="s">
        <v>196</v>
      </c>
      <c r="C4" s="279" t="str">
        <f>Inputs!C5</f>
        <v>利亞零售</v>
      </c>
      <c r="D4" s="280"/>
      <c r="E4" s="87"/>
      <c r="F4" s="3" t="s">
        <v>3</v>
      </c>
      <c r="G4" s="283">
        <f>Inputs!C10</f>
        <v>777416974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338.17638369000002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0.46570281556597115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3.9525516276755275E-2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259</v>
      </c>
      <c r="G24" s="268">
        <f>G3/(Fin_Analysis!H86*G7)</f>
        <v>-2.4361588075127969</v>
      </c>
    </row>
    <row r="25" spans="1:8" ht="15.75" customHeight="1" x14ac:dyDescent="0.4">
      <c r="B25" s="137" t="s">
        <v>244</v>
      </c>
      <c r="C25" s="171">
        <f>Fin_Analysis!I82</f>
        <v>0.11560295610891069</v>
      </c>
      <c r="F25" s="140" t="s">
        <v>175</v>
      </c>
      <c r="G25" s="171">
        <f>Fin_Analysis!I88</f>
        <v>-0.33602190448452368</v>
      </c>
    </row>
    <row r="26" spans="1:8" ht="15.75" customHeight="1" x14ac:dyDescent="0.4">
      <c r="B26" s="138" t="s">
        <v>174</v>
      </c>
      <c r="C26" s="171">
        <f>Fin_Analysis!I83</f>
        <v>-0.11179283029271934</v>
      </c>
      <c r="F26" s="141" t="s">
        <v>194</v>
      </c>
      <c r="G26" s="178">
        <f>Fin_Analysis!H88*Exchange_Rate/G3</f>
        <v>0.13793103448275862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0.36651078013944816</v>
      </c>
      <c r="D29" s="129">
        <f>G29*(1+G20)</f>
        <v>0.72455080945529271</v>
      </c>
      <c r="E29" s="87"/>
      <c r="F29" s="131">
        <f>IF(Fin_Analysis!C108="Profit",Fin_Analysis!F100,IF(Fin_Analysis!C108="Dividend",Fin_Analysis!F103,Fin_Analysis!F106))</f>
        <v>0.43118915310523315</v>
      </c>
      <c r="G29" s="274">
        <f>IF(Fin_Analysis!C108="Profit",Fin_Analysis!I100,IF(Fin_Analysis!C108="Dividend",Fin_Analysis!I103,Fin_Analysis!I106))</f>
        <v>0.63004418213503721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0.46570281556597115</v>
      </c>
      <c r="D42" s="156">
        <f t="shared" si="34"/>
        <v>0.49445813144625883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0.49096154234108225</v>
      </c>
      <c r="D43" s="153">
        <f t="shared" si="35"/>
        <v>0.45503751544914633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3.9525516276755275E-2</v>
      </c>
      <c r="D44" s="153">
        <f t="shared" si="36"/>
        <v>2.6215013835872644E-2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0.11560295610891069</v>
      </c>
      <c r="D47" s="153">
        <f t="shared" ref="D47:M47" si="39">IF(D6="","",ABS(MAX(D21,0)-MAX(D19,0))/D6)</f>
        <v>8.8749193363156106E-2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-0.11179283029271934</v>
      </c>
      <c r="D48" s="153">
        <f t="shared" si="40"/>
        <v>-6.445985409443393E-2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96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165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161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-0.41048227107203766</v>
      </c>
      <c r="D87" s="209"/>
      <c r="E87" s="262">
        <f>E86*Exchange_Rate/Dashboard!G3</f>
        <v>-0.41048227107203766</v>
      </c>
      <c r="F87" s="209"/>
      <c r="H87" s="262">
        <f>H86*Exchange_Rate/Dashboard!G3</f>
        <v>-0.41048227107203766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0.06</v>
      </c>
      <c r="D88" s="166">
        <f>C88/C86</f>
        <v>-0.33602190448452368</v>
      </c>
      <c r="E88" s="170">
        <f>Inputs!E98</f>
        <v>0.06</v>
      </c>
      <c r="F88" s="166">
        <f>E88/E86</f>
        <v>-0.33602190448452368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222</v>
      </c>
      <c r="C89" s="261">
        <f>C88*Exchange_Rate/Dashboard!G3</f>
        <v>0.13793103448275862</v>
      </c>
      <c r="D89" s="209"/>
      <c r="E89" s="261">
        <f>E88*Exchange_Rate/Dashboard!G3</f>
        <v>0.13793103448275862</v>
      </c>
      <c r="F89" s="209"/>
      <c r="H89" s="261">
        <f>H88*Exchange_Rate/Dashboard!G3</f>
        <v>0.13793103448275862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>
        <f>FV(E87,D93,0,-(E86/(C93-D94)))*Exchange_Rate</f>
        <v>-0.19263006804295127</v>
      </c>
      <c r="H93" s="87" t="s">
        <v>210</v>
      </c>
      <c r="I93" s="144">
        <f>FV(H87,D93,0,-(H86/(C93-D94)))*Exchange_Rate</f>
        <v>-0.19263006804295127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1.7345508045404967</v>
      </c>
      <c r="H94" s="87" t="s">
        <v>211</v>
      </c>
      <c r="I94" s="144">
        <f>FV(H89,D93,0,-(H88/(C93-D94)))*Exchange_Rate</f>
        <v>1.7345508045404967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-74454.147443349269</v>
      </c>
      <c r="D97" s="213"/>
      <c r="E97" s="123">
        <f>PV(C94,D93,0,-F93)</f>
        <v>-9.577118834988195E-2</v>
      </c>
      <c r="F97" s="213"/>
      <c r="H97" s="123">
        <f>PV(C94,D93,0,-I93)</f>
        <v>-9.577118834988195E-2</v>
      </c>
      <c r="I97" s="123">
        <f>PV(C93,D93,0,-I93)</f>
        <v>-0.13993877072616384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-74454.147443349269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670427.53325738607</v>
      </c>
      <c r="D103" s="109">
        <f>MIN(F103*(1-C94),E103)</f>
        <v>0.73302156027889631</v>
      </c>
      <c r="E103" s="123">
        <f>PV(C94,D93,0,-F94)</f>
        <v>0.86237830621046629</v>
      </c>
      <c r="F103" s="109">
        <f>(E103+H103)/2</f>
        <v>0.86237830621046629</v>
      </c>
      <c r="H103" s="123">
        <f>PV(C94,D93,0,-I94)</f>
        <v>0.86237830621046629</v>
      </c>
      <c r="I103" s="109">
        <f>PV(C93,D93,0,-I94)</f>
        <v>1.2600883642700744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335213.76662869303</v>
      </c>
      <c r="D106" s="109">
        <f>(D100+D103)/2</f>
        <v>0.36651078013944816</v>
      </c>
      <c r="E106" s="123">
        <f>(E100+E103)/2</f>
        <v>0.43118915310523315</v>
      </c>
      <c r="F106" s="109">
        <f>(F100+F103)/2</f>
        <v>0.43118915310523315</v>
      </c>
      <c r="H106" s="123">
        <f>(H100+H103)/2</f>
        <v>0.43118915310523315</v>
      </c>
      <c r="I106" s="123">
        <f>(I100+I103)/2</f>
        <v>0.63004418213503721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