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37020C6-21F3-4EB0-BE25-913D27AC341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E93" i="4"/>
  <c r="F92" i="4"/>
  <c r="F91" i="4"/>
  <c r="F97" i="4" s="1"/>
  <c r="E91" i="4"/>
  <c r="E92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<sst xmlns="http://schemas.openxmlformats.org/spreadsheetml/2006/main" count="390" uniqueCount="269">
  <si>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</si>
  <si>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</si>
  <si>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</si>
  <si>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</si>
  <si>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</si>
  <si>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</si>
  <si>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</si>
  <si>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</si>
  <si>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</si>
  <si>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</si>
  <si>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</si>
  <si>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</si>
  <si>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</si>
  <si>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</si>
  <si>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</si>
  <si>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</si>
  <si>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</si>
  <si>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</si>
  <si>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</si>
  <si>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</si>
  <si>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</si>
  <si>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</si>
  <si>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</si>
  <si>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</si>
  <si>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</si>
  <si>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</si>
  <si>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</si>
  <si>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</si>
  <si>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</si>
  <si>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</si>
  <si>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</si>
  <si>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</si>
  <si>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</si>
  <si>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</si>
  <si>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</si>
  <si>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</si>
  <si>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</si>
  <si>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</si>
  <si>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</si>
  <si>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</si>
  <si>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</si>
  <si>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</si>
  <si>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</si>
  <si>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</si>
  <si>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</si>
  <si>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</si>
  <si>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</si>
  <si>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</si>
  <si>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</si>
  <si>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</si>
  <si>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</si>
  <si>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</si>
  <si>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</si>
  <si>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</si>
  <si>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</si>
  <si>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</si>
  <si>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</si>
  <si>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</si>
  <si>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</si>
  <si>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</si>
  <si>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</si>
  <si>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</si>
  <si>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</si>
  <si>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</si>
  <si>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</si>
  <si>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</si>
  <si>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</si>
  <si>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</si>
  <si>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</si>
  <si>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</si>
  <si>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</si>
  <si>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</si>
  <si>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</si>
  <si>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</si>
  <si>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</si>
  <si>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</si>
  <si>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</si>
  <si>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</si>
  <si>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</si>
  <si>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</si>
  <si>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</si>
  <si>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</si>
  <si>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</si>
  <si>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</si>
  <si>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</si>
  <si>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</si>
  <si>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</si>
  <si>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</si>
  <si>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</si>
  <si>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</si>
  <si>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</si>
  <si>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</si>
  <si>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</si>
  <si>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</si>
  <si>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</si>
  <si>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</si>
  <si>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</si>
  <si>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</si>
  <si>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</si>
  <si>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</si>
  <si>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</si>
  <si>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</si>
  <si>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</si>
  <si>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</si>
  <si>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</si>
  <si>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</si>
  <si>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</si>
  <si>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</si>
  <si>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</si>
  <si>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</si>
  <si>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</si>
  <si>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</si>
  <si>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</si>
  <si>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</si>
  <si>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</si>
  <si>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</si>
  <si>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</si>
  <si>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</si>
  <si>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</si>
  <si>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</si>
  <si>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</si>
  <si>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</si>
  <si>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</si>
  <si>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</si>
  <si>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</si>
  <si>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</si>
  <si>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</si>
  <si>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</si>
  <si>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</si>
  <si>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</si>
  <si>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</si>
  <si>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</si>
  <si>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</si>
  <si>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</si>
  <si>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</si>
  <si>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</si>
  <si>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</si>
  <si>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</si>
  <si>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</si>
  <si>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</si>
  <si>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</si>
  <si>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</si>
  <si>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</si>
  <si>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</si>
  <si>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</si>
  <si>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</si>
  <si>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</si>
  <si>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</si>
  <si>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</si>
  <si>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</si>
  <si>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</si>
  <si>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</si>
  <si>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</si>
  <si>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</si>
  <si>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</si>
  <si>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</si>
  <si>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</si>
  <si>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</si>
  <si>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</si>
  <si>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</si>
  <si>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</si>
  <si>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</si>
  <si>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</si>
  <si>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</si>
  <si>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</si>
  <si>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</si>
  <si>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</si>
  <si>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</si>
  <si>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</si>
  <si>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</si>
  <si>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</si>
  <si>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</si>
  <si>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</si>
  <si>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</si>
  <si>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</si>
  <si>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</si>
  <si>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</si>
  <si>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</si>
  <si>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</si>
  <si>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</si>
  <si>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</si>
  <si>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</si>
  <si>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</si>
  <si>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</si>
  <si>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</si>
  <si>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</si>
  <si>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</si>
  <si>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</si>
  <si>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</si>
  <si>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</si>
  <si>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</si>
  <si>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</si>
  <si>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</si>
  <si>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</si>
  <si>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</si>
  <si>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</si>
  <si>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</si>
  <si>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</si>
  <si>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</si>
  <si>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</si>
  <si>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</si>
  <si>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</si>
  <si>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</si>
  <si>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</si>
  <si>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</si>
  <si>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</si>
  <si>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</si>
  <si>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</si>
  <si>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</si>
  <si>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</si>
  <si>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</si>
  <si>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</si>
  <si>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</si>
  <si>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</si>
  <si>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</si>
  <si>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</si>
  <si>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</si>
  <si>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</si>
  <si>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</si>
  <si>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</si>
  <si>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</si>
  <si>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</si>
  <si>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</si>
  <si>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</si>
  <si>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</si>
  <si>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</si>
  <si>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</si>
  <si>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</si>
  <si>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</si>
  <si>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</si>
  <si>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</si>
  <si>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</si>
  <si>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</si>
  <si>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</si>
  <si>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</si>
  <si>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</si>
  <si>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</si>
  <si>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</si>
  <si>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</si>
  <si>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</si>
  <si>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</si>
  <si>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</si>
  <si>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</si>
  <si>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</si>
  <si>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</si>
  <si>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</si>
  <si>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</si>
  <si>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</si>
  <si>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</si>
  <si>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</si>
  <si>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</si>
  <si>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</si>
  <si>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</si>
  <si>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</si>
  <si>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</si>
  <si>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</si>
  <si>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</si>
  <si>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</si>
  <si>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</si>
  <si>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</si>
  <si>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</si>
  <si>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1475.HK</t>
  </si>
  <si>
    <t>NISSIN FOODS</t>
  </si>
  <si>
    <t>C0002</t>
  </si>
  <si>
    <t>CN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</si>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</sst>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0.66005868735054896</c:v>
                </c:pt>
                <c:pt idx="1">
                  <c:v>0.21645682425674254</c:v>
                </c:pt>
                <c:pt idx="2">
                  <c:v>1.0365594158118095E-3</c:v>
                </c:pt>
                <c:pt idx="3">
                  <c:v>0</c:v>
                </c:pt>
                <c:pt idx="4">
                  <c:v>7.0437342852983705E-5</c:v>
                </c:pt>
                <c:pt idx="5">
                  <c:v>0.01</c:v>
                </c:pt>
                <c:pt idx="6">
                  <c:v>0.11237749163404374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261</v>
      </c>
    </row>
    <row r="5" spans="1:5" ht="13.9" x14ac:dyDescent="0.4">
      <c r="B5" s="141" t="s">
        <v>196</v>
      </c>
      <c r="C5" s="191" t="s">
        <v>262</v>
      </c>
    </row>
    <row r="6" spans="1:5" ht="13.9" x14ac:dyDescent="0.4">
      <c r="B6" s="141" t="s">
        <v>164</v>
      </c>
      <c r="C6" s="189">
        <v>45591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46</v>
      </c>
      <c r="E8" s="267"/>
    </row>
    <row r="9" spans="1:5" ht="13.9" x14ac:dyDescent="0.4">
      <c r="B9" s="140" t="s">
        <v>217</v>
      </c>
      <c r="C9" s="192" t="s">
        <v>263</v>
      </c>
    </row>
    <row r="10" spans="1:5" ht="13.9" x14ac:dyDescent="0.4">
      <c r="B10" s="140" t="s">
        <v>218</v>
      </c>
      <c r="C10" s="193">
        <v>1043691480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264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265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266</v>
      </c>
      <c r="D19" s="24"/>
    </row>
    <row r="20" spans="2:13" ht="13.9" x14ac:dyDescent="0.4">
      <c r="B20" s="241" t="s">
        <v>229</v>
      </c>
      <c r="C20" s="242" t="s">
        <v>266</v>
      </c>
      <c r="D20" s="24"/>
    </row>
    <row r="21" spans="2:13" ht="13.9" x14ac:dyDescent="0.4">
      <c r="B21" s="224" t="s">
        <v>232</v>
      </c>
      <c r="C21" s="242" t="s">
        <v>265</v>
      </c>
      <c r="D21" s="24"/>
    </row>
    <row r="22" spans="2:13" ht="78.75" x14ac:dyDescent="0.4">
      <c r="B22" s="226" t="s">
        <v>231</v>
      </c>
      <c r="C22" s="243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3833194</v>
      </c>
      <c r="D25" s="149">
        <v>4067732</v>
      </c>
      <c r="E25" s="149">
        <v>3866335</v>
      </c>
      <c r="F25" s="149">
        <v>3518847</v>
      </c>
      <c r="G25" s="149">
        <v>3087781</v>
      </c>
      <c r="H25" s="149">
        <v>2998828</v>
      </c>
      <c r="I25" s="149">
        <v>2902271</v>
      </c>
      <c r="J25" s="149">
        <v>2629905</v>
      </c>
      <c r="K25" s="149"/>
      <c r="L25" s="149"/>
      <c r="M25" s="149"/>
    </row>
    <row r="26" spans="2:13" ht="13.9" x14ac:dyDescent="0.4">
      <c r="B26" s="97" t="s">
        <v>106</v>
      </c>
      <c r="C26" s="150">
        <v>2530133</v>
      </c>
      <c r="D26" s="150">
        <v>2764937</v>
      </c>
      <c r="E26" s="150">
        <v>2639016</v>
      </c>
      <c r="F26" s="150">
        <v>2360170</v>
      </c>
      <c r="G26" s="150">
        <v>2074351</v>
      </c>
      <c r="H26" s="150">
        <v>2065429</v>
      </c>
      <c r="I26" s="150">
        <v>1867706</v>
      </c>
      <c r="J26" s="150">
        <v>1588722</v>
      </c>
      <c r="K26" s="150"/>
      <c r="L26" s="150"/>
      <c r="M26" s="150"/>
    </row>
    <row r="27" spans="2:13" ht="13.9" x14ac:dyDescent="0.4">
      <c r="B27" s="97" t="s">
        <v>104</v>
      </c>
      <c r="C27" s="150">
        <v>829721</v>
      </c>
      <c r="D27" s="150">
        <v>842779</v>
      </c>
      <c r="E27" s="150">
        <v>769862</v>
      </c>
      <c r="F27" s="150">
        <v>714686</v>
      </c>
      <c r="G27" s="150">
        <v>676867</v>
      </c>
      <c r="H27" s="150">
        <v>648594</v>
      </c>
      <c r="I27" s="150">
        <v>767003</v>
      </c>
      <c r="J27" s="150">
        <v>750812</v>
      </c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270</v>
      </c>
      <c r="D29" s="150">
        <v>259</v>
      </c>
      <c r="E29" s="150">
        <v>365</v>
      </c>
      <c r="F29" s="150">
        <v>116</v>
      </c>
      <c r="G29" s="150">
        <v>64</v>
      </c>
      <c r="H29" s="150">
        <v>0</v>
      </c>
      <c r="I29" s="150">
        <v>0</v>
      </c>
      <c r="J29" s="150">
        <v>0</v>
      </c>
      <c r="K29" s="150"/>
      <c r="L29" s="150"/>
      <c r="M29" s="150"/>
    </row>
    <row r="30" spans="2:13" ht="13.9" x14ac:dyDescent="0.4">
      <c r="B30" s="99" t="s">
        <v>111</v>
      </c>
      <c r="C30" s="150">
        <v>2980</v>
      </c>
      <c r="D30" s="150">
        <v>30135</v>
      </c>
      <c r="E30" s="150">
        <v>35414</v>
      </c>
      <c r="F30" s="150">
        <v>30652</v>
      </c>
      <c r="G30" s="150">
        <v>27954</v>
      </c>
      <c r="H30" s="150">
        <v>25134</v>
      </c>
      <c r="I30" s="150">
        <v>25097</v>
      </c>
      <c r="J30" s="150">
        <v>16390</v>
      </c>
      <c r="K30" s="150"/>
      <c r="L30" s="150"/>
      <c r="M30" s="150"/>
    </row>
    <row r="31" spans="2:13" ht="13.9" x14ac:dyDescent="0.4">
      <c r="B31" s="97" t="s">
        <v>110</v>
      </c>
      <c r="C31" s="150">
        <v>-212109</v>
      </c>
      <c r="D31" s="150">
        <v>-63909</v>
      </c>
      <c r="E31" s="150">
        <v>-85212</v>
      </c>
      <c r="F31" s="150">
        <v>-137953</v>
      </c>
      <c r="G31" s="150">
        <v>-184857</v>
      </c>
      <c r="H31" s="150">
        <v>-59025</v>
      </c>
      <c r="I31" s="150">
        <v>-13114</v>
      </c>
      <c r="J31" s="150">
        <v>-55207</v>
      </c>
      <c r="K31" s="150"/>
      <c r="L31" s="150"/>
      <c r="M31" s="150"/>
    </row>
    <row r="32" spans="2:13" ht="13.9" x14ac:dyDescent="0.4">
      <c r="B32" s="97" t="s">
        <v>105</v>
      </c>
      <c r="C32" s="150">
        <v>47627</v>
      </c>
      <c r="D32" s="150">
        <v>45913</v>
      </c>
      <c r="E32" s="150">
        <v>50573</v>
      </c>
      <c r="F32" s="150">
        <v>36563</v>
      </c>
      <c r="G32" s="150">
        <v>23174</v>
      </c>
      <c r="H32" s="150">
        <v>17650</v>
      </c>
      <c r="I32" s="150">
        <v>20113</v>
      </c>
      <c r="J32" s="150">
        <v>21618</v>
      </c>
      <c r="K32" s="150"/>
      <c r="L32" s="150"/>
      <c r="M32" s="150"/>
    </row>
    <row r="33" spans="2:13" ht="13.9" x14ac:dyDescent="0.4">
      <c r="B33" s="97" t="s">
        <v>108</v>
      </c>
      <c r="C33" s="150">
        <v>329600</v>
      </c>
      <c r="D33" s="150">
        <v>634000</v>
      </c>
      <c r="E33" s="150">
        <v>315900</v>
      </c>
      <c r="F33" s="150">
        <v>259700</v>
      </c>
      <c r="G33" s="150">
        <v>283600</v>
      </c>
      <c r="H33" s="150">
        <v>215300</v>
      </c>
      <c r="I33" s="150">
        <v>259700</v>
      </c>
      <c r="J33" s="150">
        <v>467600</v>
      </c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2504156</v>
      </c>
      <c r="E34" s="150">
        <v>3108899</v>
      </c>
      <c r="F34" s="150">
        <v>3296593</v>
      </c>
      <c r="G34" s="150">
        <v>2995218</v>
      </c>
      <c r="H34" s="150">
        <v>2922746</v>
      </c>
      <c r="I34" s="150">
        <v>2928529</v>
      </c>
      <c r="J34" s="150">
        <v>2035257</v>
      </c>
      <c r="K34" s="150"/>
      <c r="L34" s="150"/>
      <c r="M34" s="150"/>
    </row>
    <row r="35" spans="2:13" ht="13.9" x14ac:dyDescent="0.4">
      <c r="B35" s="94" t="s">
        <v>117</v>
      </c>
      <c r="C35" s="217"/>
      <c r="D35" s="150">
        <v>372854</v>
      </c>
      <c r="E35" s="150">
        <v>475382</v>
      </c>
      <c r="F35" s="150">
        <v>508545</v>
      </c>
      <c r="G35" s="150">
        <v>421056</v>
      </c>
      <c r="H35" s="150">
        <v>449932</v>
      </c>
      <c r="I35" s="150">
        <v>420626</v>
      </c>
      <c r="J35" s="150">
        <v>296371</v>
      </c>
      <c r="K35" s="150"/>
      <c r="L35" s="150"/>
      <c r="M35" s="150"/>
    </row>
    <row r="36" spans="2:13" ht="13.9" x14ac:dyDescent="0.4">
      <c r="B36" s="94" t="s">
        <v>149</v>
      </c>
      <c r="C36" s="217"/>
      <c r="D36" s="150">
        <v>415015</v>
      </c>
      <c r="E36" s="150">
        <v>464999</v>
      </c>
      <c r="F36" s="150">
        <v>363144</v>
      </c>
      <c r="G36" s="150">
        <v>326593</v>
      </c>
      <c r="H36" s="150">
        <v>294086</v>
      </c>
      <c r="I36" s="150">
        <v>290728</v>
      </c>
      <c r="J36" s="150">
        <v>215131</v>
      </c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896185</v>
      </c>
      <c r="E37" s="150">
        <v>1060434</v>
      </c>
      <c r="F37" s="150">
        <v>1065331</v>
      </c>
      <c r="G37" s="150">
        <v>859227</v>
      </c>
      <c r="H37" s="150">
        <v>796096</v>
      </c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>
        <v>112845</v>
      </c>
      <c r="E38" s="150">
        <v>82874</v>
      </c>
      <c r="F38" s="150">
        <v>75361</v>
      </c>
      <c r="G38" s="150">
        <v>62385</v>
      </c>
      <c r="H38" s="150">
        <v>53103</v>
      </c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>
        <v>8558</v>
      </c>
      <c r="E39" s="150">
        <v>5576</v>
      </c>
      <c r="F39" s="150">
        <v>7278</v>
      </c>
      <c r="G39" s="150">
        <v>1660</v>
      </c>
      <c r="H39" s="150">
        <v>0</v>
      </c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>
        <v>1113</v>
      </c>
      <c r="E40" s="150">
        <v>5636</v>
      </c>
      <c r="F40" s="150">
        <v>9396</v>
      </c>
      <c r="G40" s="150">
        <v>131</v>
      </c>
      <c r="H40" s="150">
        <v>0</v>
      </c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>
        <v>3674703</v>
      </c>
      <c r="E41" s="150">
        <v>4116261</v>
      </c>
      <c r="F41" s="150">
        <v>4043183</v>
      </c>
      <c r="G41" s="150">
        <v>3712318</v>
      </c>
      <c r="H41" s="150">
        <v>3595173</v>
      </c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>
        <v>43262</v>
      </c>
      <c r="E42" s="150">
        <v>165622</v>
      </c>
      <c r="F42" s="150">
        <v>143504</v>
      </c>
      <c r="G42" s="150">
        <v>122753</v>
      </c>
      <c r="H42" s="150">
        <v>114637</v>
      </c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>
        <v>1696980</v>
      </c>
      <c r="E43" s="150">
        <v>2130407</v>
      </c>
      <c r="F43" s="150">
        <v>2344902</v>
      </c>
      <c r="G43" s="150">
        <v>2164713</v>
      </c>
      <c r="H43" s="150">
        <v>2079261</v>
      </c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v>0.15820000000000001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3.0778210116731521E-2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1322113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422018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221617</v>
      </c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63587</v>
      </c>
      <c r="D54" s="60">
        <v>0.1</v>
      </c>
      <c r="E54" s="112"/>
    </row>
    <row r="55" spans="2:5" ht="13.9" x14ac:dyDescent="0.4">
      <c r="B55" s="3" t="s">
        <v>47</v>
      </c>
      <c r="C55" s="59">
        <v>370793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v>22411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>
        <v>39731</v>
      </c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85171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1863998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23958</v>
      </c>
      <c r="D70" s="60">
        <v>0.05</v>
      </c>
      <c r="E70" s="112"/>
    </row>
    <row r="71" spans="2:5" ht="13.9" x14ac:dyDescent="0.4">
      <c r="B71" s="3" t="s">
        <v>75</v>
      </c>
      <c r="C71" s="59">
        <v>71331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62618</v>
      </c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5523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803015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2115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100207</v>
      </c>
    </row>
    <row r="83" spans="2:8" ht="14.25" thickTop="1" x14ac:dyDescent="0.4">
      <c r="B83" s="73" t="s">
        <v>221</v>
      </c>
      <c r="C83" s="59">
        <v>3620511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/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3833194</v>
      </c>
      <c r="D91" s="209"/>
      <c r="E91" s="251">
        <f>C91</f>
        <v>3833194</v>
      </c>
      <c r="F91" s="251">
        <f>C91</f>
        <v>3833194</v>
      </c>
    </row>
    <row r="92" spans="2:8" ht="13.9" x14ac:dyDescent="0.4">
      <c r="B92" s="104" t="s">
        <v>106</v>
      </c>
      <c r="C92" s="77">
        <f>C26</f>
        <v>2530133</v>
      </c>
      <c r="D92" s="159">
        <f>C92/C91</f>
        <v>0.66005868735054896</v>
      </c>
      <c r="E92" s="252">
        <f>E91*D92</f>
        <v>2530133</v>
      </c>
      <c r="F92" s="252">
        <f>F91*D92</f>
        <v>2530133</v>
      </c>
    </row>
    <row r="93" spans="2:8" ht="13.9" x14ac:dyDescent="0.4">
      <c r="B93" s="104" t="s">
        <v>248</v>
      </c>
      <c r="C93" s="77">
        <f>C27+C28</f>
        <v>829721</v>
      </c>
      <c r="D93" s="159">
        <f>C93/C91</f>
        <v>0.21645682425674254</v>
      </c>
      <c r="E93" s="252">
        <f>E91*D93</f>
        <v>829721</v>
      </c>
      <c r="F93" s="252">
        <f>F91*D93</f>
        <v>829721</v>
      </c>
    </row>
    <row r="94" spans="2:8" ht="13.9" x14ac:dyDescent="0.4">
      <c r="B94" s="104" t="s">
        <v>258</v>
      </c>
      <c r="C94" s="77">
        <f>C29</f>
        <v>270</v>
      </c>
      <c r="D94" s="159">
        <f>C94/C91</f>
        <v>7.0437342852983705E-5</v>
      </c>
      <c r="E94" s="253"/>
      <c r="F94" s="252">
        <f>F91*D94</f>
        <v>270</v>
      </c>
    </row>
    <row r="95" spans="2:8" ht="13.9" x14ac:dyDescent="0.4">
      <c r="B95" s="28" t="s">
        <v>247</v>
      </c>
      <c r="C95" s="77">
        <f>ABS(MAX(C33,0)-C32)</f>
        <v>281973</v>
      </c>
      <c r="D95" s="159">
        <f>C95/C91</f>
        <v>7.3560847689942116E-2</v>
      </c>
      <c r="E95" s="252">
        <f>E91*0.03</f>
        <v>114995.81999999999</v>
      </c>
      <c r="F95" s="252">
        <f>F91*0.01</f>
        <v>38331.94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3973.3333333333335</v>
      </c>
      <c r="D97" s="159">
        <f>C97/C91</f>
        <v>1.0365594158118095E-3</v>
      </c>
      <c r="E97" s="253"/>
      <c r="F97" s="252">
        <f>F91*D97</f>
        <v>3973.3333333333335</v>
      </c>
    </row>
    <row r="98" spans="2:7" ht="13.9" x14ac:dyDescent="0.4">
      <c r="B98" s="86" t="s">
        <v>208</v>
      </c>
      <c r="C98" s="237">
        <f>C44</f>
        <v>0.15820000000000001</v>
      </c>
      <c r="D98" s="266"/>
      <c r="E98" s="254">
        <f>F98</f>
        <v>0.15820000000000001</v>
      </c>
      <c r="F98" s="254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1475.HK</v>
      </c>
      <c r="D3" s="278"/>
      <c r="E3" s="87"/>
      <c r="F3" s="3" t="s">
        <v>1</v>
      </c>
      <c r="G3" s="132">
        <v>5.14</v>
      </c>
      <c r="H3" s="134" t="s">
        <v>268</v>
      </c>
    </row>
    <row r="4" spans="1:10" ht="15.75" customHeight="1" x14ac:dyDescent="0.4">
      <c r="B4" s="35" t="s">
        <v>196</v>
      </c>
      <c r="C4" s="279" t="str">
        <f>Inputs!C5</f>
        <v>NISSIN FOODS</v>
      </c>
      <c r="D4" s="280"/>
      <c r="E4" s="87"/>
      <c r="F4" s="3" t="s">
        <v>3</v>
      </c>
      <c r="G4" s="283">
        <f>Inputs!C10</f>
        <v>1043691480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45591</v>
      </c>
      <c r="D5" s="282"/>
      <c r="E5" s="34"/>
      <c r="F5" s="35" t="s">
        <v>100</v>
      </c>
      <c r="G5" s="275">
        <f>G3*G4/1000000</f>
        <v>5364.5742071999994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Y</v>
      </c>
      <c r="D7" s="187" t="str">
        <f>Inputs!C9</f>
        <v>C0002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0.66005868735054896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0.21645682425674254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1.0365594158118095E-3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>
        <f>G3/(Data!C36*Data!C4/Common_Shares*Exchange_Rate)</f>
        <v>1.4632822586470069</v>
      </c>
    </row>
    <row r="24" spans="1:8" ht="15.75" customHeight="1" x14ac:dyDescent="0.4">
      <c r="B24" s="137" t="s">
        <v>171</v>
      </c>
      <c r="C24" s="171">
        <f>Fin_Analysis!I81</f>
        <v>7.0437342852983705E-5</v>
      </c>
      <c r="F24" s="140" t="s">
        <v>260</v>
      </c>
      <c r="G24" s="268">
        <f>G3/(Fin_Analysis!H86*G7)</f>
        <v>16.604808069939615</v>
      </c>
    </row>
    <row r="25" spans="1:8" ht="15.75" customHeight="1" x14ac:dyDescent="0.4">
      <c r="B25" s="137" t="s">
        <v>244</v>
      </c>
      <c r="C25" s="171">
        <f>Fin_Analysis!I82</f>
        <v>0.01</v>
      </c>
      <c r="F25" s="140" t="s">
        <v>175</v>
      </c>
      <c r="G25" s="171">
        <f>Fin_Analysis!I88</f>
        <v>0.51106627172460062</v>
      </c>
    </row>
    <row r="26" spans="1:8" ht="15.75" customHeight="1" x14ac:dyDescent="0.4">
      <c r="B26" s="138" t="s">
        <v>174</v>
      </c>
      <c r="C26" s="171">
        <f>Fin_Analysis!I83</f>
        <v>0.11237749163404374</v>
      </c>
      <c r="F26" s="141" t="s">
        <v>194</v>
      </c>
      <c r="G26" s="178">
        <f>Fin_Analysis!H88*Exchange_Rate/G3</f>
        <v>3.0778210116731521E-2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2.9940632059834291</v>
      </c>
      <c r="D29" s="129">
        <f>G29*(1+G20)</f>
        <v>5.8929728164823612</v>
      </c>
      <c r="E29" s="87"/>
      <c r="F29" s="131">
        <f>IF(Fin_Analysis!C108="Profit",Fin_Analysis!F100,IF(Fin_Analysis!C108="Dividend",Fin_Analysis!F103,Fin_Analysis!F106))</f>
        <v>3.5224273011569758</v>
      </c>
      <c r="G29" s="274">
        <f>IF(Fin_Analysis!C108="Profit",Fin_Analysis!I100,IF(Fin_Analysis!C108="Dividend",Fin_Analysis!I103,Fin_Analysis!I106))</f>
        <v>5.1243241882455317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>
        <f>H14</f>
        <v>251293</v>
      </c>
      <c r="G3" s="85">
        <f>C14</f>
        <v>469366.66666666669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0.10974187866738938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3833194</v>
      </c>
      <c r="D6" s="200">
        <f>IF(Inputs!D25="","",Inputs!D25)</f>
        <v>4067732</v>
      </c>
      <c r="E6" s="200">
        <f>IF(Inputs!E25="","",Inputs!E25)</f>
        <v>3866335</v>
      </c>
      <c r="F6" s="200">
        <f>IF(Inputs!F25="","",Inputs!F25)</f>
        <v>3518847</v>
      </c>
      <c r="G6" s="200">
        <f>IF(Inputs!G25="","",Inputs!G25)</f>
        <v>3087781</v>
      </c>
      <c r="H6" s="200">
        <f>IF(Inputs!H25="","",Inputs!H25)</f>
        <v>2998828</v>
      </c>
      <c r="I6" s="200">
        <f>IF(Inputs!I25="","",Inputs!I25)</f>
        <v>2902271</v>
      </c>
      <c r="J6" s="200">
        <f>IF(Inputs!J25="","",Inputs!J25)</f>
        <v>2629905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2530133</v>
      </c>
      <c r="D8" s="199">
        <f>IF(Inputs!D26="","",Inputs!D26)</f>
        <v>2764937</v>
      </c>
      <c r="E8" s="199">
        <f>IF(Inputs!E26="","",Inputs!E26)</f>
        <v>2639016</v>
      </c>
      <c r="F8" s="199">
        <f>IF(Inputs!F26="","",Inputs!F26)</f>
        <v>2360170</v>
      </c>
      <c r="G8" s="199">
        <f>IF(Inputs!G26="","",Inputs!G26)</f>
        <v>2074351</v>
      </c>
      <c r="H8" s="199">
        <f>IF(Inputs!H26="","",Inputs!H26)</f>
        <v>2065429</v>
      </c>
      <c r="I8" s="199">
        <f>IF(Inputs!I26="","",Inputs!I26)</f>
        <v>1867706</v>
      </c>
      <c r="J8" s="199">
        <f>IF(Inputs!J26="","",Inputs!J26)</f>
        <v>1588722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1303061</v>
      </c>
      <c r="D9" s="151">
        <f t="shared" si="2"/>
        <v>1302795</v>
      </c>
      <c r="E9" s="151">
        <f t="shared" si="2"/>
        <v>1227319</v>
      </c>
      <c r="F9" s="151">
        <f t="shared" si="2"/>
        <v>1158677</v>
      </c>
      <c r="G9" s="151">
        <f t="shared" si="2"/>
        <v>1013430</v>
      </c>
      <c r="H9" s="151">
        <f t="shared" si="2"/>
        <v>933399</v>
      </c>
      <c r="I9" s="151">
        <f t="shared" si="2"/>
        <v>1034565</v>
      </c>
      <c r="J9" s="151">
        <f t="shared" si="2"/>
        <v>1041183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829721</v>
      </c>
      <c r="D10" s="199">
        <f>IF(Inputs!D27="","",Inputs!D27)</f>
        <v>842779</v>
      </c>
      <c r="E10" s="199">
        <f>IF(Inputs!E27="","",Inputs!E27)</f>
        <v>769862</v>
      </c>
      <c r="F10" s="199">
        <f>IF(Inputs!F27="","",Inputs!F27)</f>
        <v>714686</v>
      </c>
      <c r="G10" s="199">
        <f>IF(Inputs!G27="","",Inputs!G27)</f>
        <v>676867</v>
      </c>
      <c r="H10" s="199">
        <f>IF(Inputs!H27="","",Inputs!H27)</f>
        <v>648594</v>
      </c>
      <c r="I10" s="199">
        <f>IF(Inputs!I27="","",Inputs!I27)</f>
        <v>767003</v>
      </c>
      <c r="J10" s="199">
        <f>IF(Inputs!J27="","",Inputs!J27)</f>
        <v>750812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3973.3333333333335</v>
      </c>
      <c r="D12" s="199">
        <f>IF(Inputs!D30="","",MAX(Inputs!D30,0)/(1-Fin_Analysis!$I$84))</f>
        <v>40180</v>
      </c>
      <c r="E12" s="199">
        <f>IF(Inputs!E30="","",MAX(Inputs!E30,0)/(1-Fin_Analysis!$I$84))</f>
        <v>47218.666666666664</v>
      </c>
      <c r="F12" s="199">
        <f>IF(Inputs!F30="","",MAX(Inputs!F30,0)/(1-Fin_Analysis!$I$84))</f>
        <v>40869.333333333336</v>
      </c>
      <c r="G12" s="199">
        <f>IF(Inputs!G30="","",MAX(Inputs!G30,0)/(1-Fin_Analysis!$I$84))</f>
        <v>37272</v>
      </c>
      <c r="H12" s="199">
        <f>IF(Inputs!H30="","",MAX(Inputs!H30,0)/(1-Fin_Analysis!$I$84))</f>
        <v>33512</v>
      </c>
      <c r="I12" s="199">
        <f>IF(Inputs!I30="","",MAX(Inputs!I30,0)/(1-Fin_Analysis!$I$84))</f>
        <v>33462.666666666664</v>
      </c>
      <c r="J12" s="199">
        <f>IF(Inputs!J30="","",MAX(Inputs!J30,0)/(1-Fin_Analysis!$I$84))</f>
        <v>21853.333333333332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0.12244792897689673</v>
      </c>
      <c r="D13" s="229">
        <f t="shared" si="3"/>
        <v>0.10321132267317512</v>
      </c>
      <c r="E13" s="229">
        <f t="shared" si="3"/>
        <v>0.10610522195653851</v>
      </c>
      <c r="F13" s="229">
        <f t="shared" si="3"/>
        <v>0.11456072590444162</v>
      </c>
      <c r="G13" s="229">
        <f t="shared" si="3"/>
        <v>9.6927534692389128E-2</v>
      </c>
      <c r="H13" s="229">
        <f t="shared" si="3"/>
        <v>8.3797070055368295E-2</v>
      </c>
      <c r="I13" s="229">
        <f t="shared" si="3"/>
        <v>8.066074234050967E-2</v>
      </c>
      <c r="J13" s="229">
        <f t="shared" si="3"/>
        <v>0.10210166019938617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469366.66666666669</v>
      </c>
      <c r="D14" s="230">
        <f t="shared" ref="D14:M14" si="4">IF(D6="","",D9-D10-MAX(D11,0)-MAX(D12,0))</f>
        <v>419836</v>
      </c>
      <c r="E14" s="230">
        <f t="shared" si="4"/>
        <v>410238.33333333331</v>
      </c>
      <c r="F14" s="230">
        <f t="shared" si="4"/>
        <v>403121.66666666669</v>
      </c>
      <c r="G14" s="230">
        <f t="shared" si="4"/>
        <v>299291</v>
      </c>
      <c r="H14" s="230">
        <f t="shared" si="4"/>
        <v>251293</v>
      </c>
      <c r="I14" s="230">
        <f t="shared" si="4"/>
        <v>234099.33333333334</v>
      </c>
      <c r="J14" s="230">
        <f t="shared" si="4"/>
        <v>268517.66666666669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0.11797622563731239</v>
      </c>
      <c r="D15" s="232">
        <f t="shared" ref="D15:M15" si="5">IF(E14="","",IF(ABS(D14+E14)=ABS(D14)+ABS(E14),IF(D14&lt;0,-1,1)*(D14-E14)/E14,"Turn"))</f>
        <v>2.3395343357316731E-2</v>
      </c>
      <c r="E15" s="232">
        <f t="shared" si="5"/>
        <v>1.7653892745366273E-2</v>
      </c>
      <c r="F15" s="232">
        <f t="shared" si="5"/>
        <v>0.34692211482024748</v>
      </c>
      <c r="G15" s="232">
        <f t="shared" si="5"/>
        <v>0.19100412665693037</v>
      </c>
      <c r="H15" s="232">
        <f t="shared" si="5"/>
        <v>7.3446030032835022E-2</v>
      </c>
      <c r="I15" s="232">
        <f t="shared" si="5"/>
        <v>-0.12817902732656947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-212109</v>
      </c>
      <c r="D16" s="199">
        <f>IF(Inputs!D31="","",Inputs!D31)</f>
        <v>-63909</v>
      </c>
      <c r="E16" s="199">
        <f>IF(Inputs!E31="","",Inputs!E31)</f>
        <v>-85212</v>
      </c>
      <c r="F16" s="199">
        <f>IF(Inputs!F31="","",Inputs!F31)</f>
        <v>-137953</v>
      </c>
      <c r="G16" s="199">
        <f>IF(Inputs!G31="","",Inputs!G31)</f>
        <v>-184857</v>
      </c>
      <c r="H16" s="199">
        <f>IF(Inputs!H31="","",Inputs!H31)</f>
        <v>-59025</v>
      </c>
      <c r="I16" s="199">
        <f>IF(Inputs!I31="","",Inputs!I31)</f>
        <v>-13114</v>
      </c>
      <c r="J16" s="199">
        <f>IF(Inputs!J31="","",Inputs!J31)</f>
        <v>-55207</v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270</v>
      </c>
      <c r="D17" s="199">
        <f>IF(Inputs!D29="","",Inputs!D29)</f>
        <v>259</v>
      </c>
      <c r="E17" s="199">
        <f>IF(Inputs!E29="","",Inputs!E29)</f>
        <v>365</v>
      </c>
      <c r="F17" s="199">
        <f>IF(Inputs!F29="","",Inputs!F29)</f>
        <v>116</v>
      </c>
      <c r="G17" s="199">
        <f>IF(Inputs!G29="","",Inputs!G29)</f>
        <v>64</v>
      </c>
      <c r="H17" s="199">
        <f>IF(Inputs!H29="","",Inputs!H29)</f>
        <v>0</v>
      </c>
      <c r="I17" s="199">
        <f>IF(Inputs!I29="","",Inputs!I29)</f>
        <v>0</v>
      </c>
      <c r="J17" s="199">
        <f>IF(Inputs!J29="","",Inputs!J29)</f>
        <v>0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1.2424886400218721E-2</v>
      </c>
      <c r="D18" s="152">
        <f t="shared" si="6"/>
        <v>1.1287125110503839E-2</v>
      </c>
      <c r="E18" s="152">
        <f t="shared" si="6"/>
        <v>1.3080346115895286E-2</v>
      </c>
      <c r="F18" s="152">
        <f t="shared" si="6"/>
        <v>1.0390619427329464E-2</v>
      </c>
      <c r="G18" s="152">
        <f t="shared" si="6"/>
        <v>7.5050659356994554E-3</v>
      </c>
      <c r="H18" s="152">
        <f t="shared" si="6"/>
        <v>5.8856326538234268E-3</v>
      </c>
      <c r="I18" s="152">
        <f t="shared" si="6"/>
        <v>6.9300902637968679E-3</v>
      </c>
      <c r="J18" s="152">
        <f t="shared" si="6"/>
        <v>8.2200687857546181E-3</v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47627</v>
      </c>
      <c r="D19" s="199">
        <f>IF(Inputs!D32="","",Inputs!D32)</f>
        <v>45913</v>
      </c>
      <c r="E19" s="199">
        <f>IF(Inputs!E32="","",Inputs!E32)</f>
        <v>50573</v>
      </c>
      <c r="F19" s="199">
        <f>IF(Inputs!F32="","",Inputs!F32)</f>
        <v>36563</v>
      </c>
      <c r="G19" s="199">
        <f>IF(Inputs!G32="","",Inputs!G32)</f>
        <v>23174</v>
      </c>
      <c r="H19" s="199">
        <f>IF(Inputs!H32="","",Inputs!H32)</f>
        <v>17650</v>
      </c>
      <c r="I19" s="199">
        <f>IF(Inputs!I32="","",Inputs!I32)</f>
        <v>20113</v>
      </c>
      <c r="J19" s="199">
        <f>IF(Inputs!J32="","",Inputs!J32)</f>
        <v>21618</v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8.5985734090160845E-2</v>
      </c>
      <c r="D20" s="152">
        <f t="shared" si="7"/>
        <v>0.15586080892251505</v>
      </c>
      <c r="E20" s="152">
        <f t="shared" si="7"/>
        <v>8.1705284203257095E-2</v>
      </c>
      <c r="F20" s="152">
        <f t="shared" si="7"/>
        <v>7.3802583630376659E-2</v>
      </c>
      <c r="G20" s="152">
        <f t="shared" si="7"/>
        <v>9.1845891920443845E-2</v>
      </c>
      <c r="H20" s="152">
        <f t="shared" si="7"/>
        <v>7.1794714468452342E-2</v>
      </c>
      <c r="I20" s="152">
        <f t="shared" si="7"/>
        <v>8.9481650748672328E-2</v>
      </c>
      <c r="J20" s="152">
        <f t="shared" si="7"/>
        <v>0.17780109927925153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329600</v>
      </c>
      <c r="D21" s="199">
        <f>IF(Inputs!D33="","",Inputs!D33)</f>
        <v>634000</v>
      </c>
      <c r="E21" s="199">
        <f>IF(Inputs!E33="","",Inputs!E33)</f>
        <v>315900</v>
      </c>
      <c r="F21" s="199">
        <f>IF(Inputs!F33="","",Inputs!F33)</f>
        <v>259700</v>
      </c>
      <c r="G21" s="199">
        <f>IF(Inputs!G33="","",Inputs!G33)</f>
        <v>283600</v>
      </c>
      <c r="H21" s="199">
        <f>IF(Inputs!H33="","",Inputs!H33)</f>
        <v>215300</v>
      </c>
      <c r="I21" s="199">
        <f>IF(Inputs!I33="","",Inputs!I33)</f>
        <v>259700</v>
      </c>
      <c r="J21" s="199">
        <f>IF(Inputs!J33="","",Inputs!J33)</f>
        <v>467600</v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187123.66666666669</v>
      </c>
      <c r="D22" s="161">
        <f t="shared" ref="D22:M22" si="8">IF(D6="","",D14-MAX(D16,0)-MAX(D17,0)-ABS(MAX(D21,0)-MAX(D19,0)))</f>
        <v>-168510</v>
      </c>
      <c r="E22" s="161">
        <f t="shared" si="8"/>
        <v>144546.33333333331</v>
      </c>
      <c r="F22" s="161">
        <f t="shared" si="8"/>
        <v>179868.66666666669</v>
      </c>
      <c r="G22" s="161">
        <f t="shared" si="8"/>
        <v>38801</v>
      </c>
      <c r="H22" s="161">
        <f t="shared" si="8"/>
        <v>53643</v>
      </c>
      <c r="I22" s="161">
        <f t="shared" si="8"/>
        <v>-5487.666666666657</v>
      </c>
      <c r="J22" s="161">
        <f t="shared" si="8"/>
        <v>-177464.33333333331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3.6612482958076217E-2</v>
      </c>
      <c r="D23" s="153">
        <f t="shared" si="9"/>
        <v>-3.1069524737617916E-2</v>
      </c>
      <c r="E23" s="153">
        <f t="shared" si="9"/>
        <v>2.8039409414859287E-2</v>
      </c>
      <c r="F23" s="153">
        <f t="shared" si="9"/>
        <v>3.8336847268437647E-2</v>
      </c>
      <c r="G23" s="153">
        <f t="shared" si="9"/>
        <v>9.424486386826008E-3</v>
      </c>
      <c r="H23" s="153">
        <f t="shared" si="9"/>
        <v>1.3415991180554537E-2</v>
      </c>
      <c r="I23" s="153">
        <f t="shared" si="9"/>
        <v>-1.4181136082743453E-3</v>
      </c>
      <c r="J23" s="153">
        <f t="shared" si="9"/>
        <v>-5.060952772058306E-2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140342.75</v>
      </c>
      <c r="D24" s="77">
        <f>IF(D6="","",D22*(1-Fin_Analysis!$I$84))</f>
        <v>-126382.5</v>
      </c>
      <c r="E24" s="77">
        <f>IF(E6="","",E22*(1-Fin_Analysis!$I$84))</f>
        <v>108409.74999999999</v>
      </c>
      <c r="F24" s="77">
        <f>IF(F6="","",F22*(1-Fin_Analysis!$I$84))</f>
        <v>134901.5</v>
      </c>
      <c r="G24" s="77">
        <f>IF(G6="","",G22*(1-Fin_Analysis!$I$84))</f>
        <v>29100.75</v>
      </c>
      <c r="H24" s="77">
        <f>IF(H6="","",H22*(1-Fin_Analysis!$I$84))</f>
        <v>40232.25</v>
      </c>
      <c r="I24" s="77">
        <f>IF(I6="","",I22*(1-Fin_Analysis!$I$84))</f>
        <v>-4115.7499999999927</v>
      </c>
      <c r="J24" s="77">
        <f>IF(J6="","",J22*(1-Fin_Analysis!$I$84))</f>
        <v>-133098.25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-0.19637846873459536</v>
      </c>
      <c r="F25" s="233">
        <f t="shared" si="10"/>
        <v>3.6356709019526989</v>
      </c>
      <c r="G25" s="233">
        <f t="shared" si="10"/>
        <v>-0.27668102082284735</v>
      </c>
      <c r="H25" s="233" t="str">
        <f t="shared" si="10"/>
        <v>Turn</v>
      </c>
      <c r="I25" s="233">
        <f t="shared" si="10"/>
        <v>0.96907735451067167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4569346</v>
      </c>
      <c r="D27" s="65">
        <f t="shared" ref="D27:M27" si="20">IF(D36="","",D36+D31+D32)</f>
        <v>4683733</v>
      </c>
      <c r="E27" s="65">
        <f t="shared" si="20"/>
        <v>5259569</v>
      </c>
      <c r="F27" s="65">
        <f t="shared" si="20"/>
        <v>5183875</v>
      </c>
      <c r="G27" s="65">
        <f t="shared" si="20"/>
        <v>4633930</v>
      </c>
      <c r="H27" s="65">
        <f t="shared" si="20"/>
        <v>4444372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2422539</v>
      </c>
      <c r="D28" s="199">
        <f>IF(Inputs!D34="","",Inputs!D34)</f>
        <v>2504156</v>
      </c>
      <c r="E28" s="199">
        <f>IF(Inputs!E34="","",Inputs!E34)</f>
        <v>3108899</v>
      </c>
      <c r="F28" s="199">
        <f>IF(Inputs!F34="","",Inputs!F34)</f>
        <v>3296593</v>
      </c>
      <c r="G28" s="199">
        <f>IF(Inputs!G34="","",Inputs!G34)</f>
        <v>2995218</v>
      </c>
      <c r="H28" s="199">
        <f>IF(Inputs!H34="","",Inputs!H34)</f>
        <v>2922746</v>
      </c>
      <c r="I28" s="199">
        <f>IF(Inputs!I34="","",Inputs!I34)</f>
        <v>2928529</v>
      </c>
      <c r="J28" s="199">
        <f>IF(Inputs!J34="","",Inputs!J34)</f>
        <v>2035257</v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422018</v>
      </c>
      <c r="D29" s="199">
        <f>IF(Inputs!D35="","",Inputs!D35)</f>
        <v>372854</v>
      </c>
      <c r="E29" s="199">
        <f>IF(Inputs!E35="","",Inputs!E35)</f>
        <v>475382</v>
      </c>
      <c r="F29" s="199">
        <f>IF(Inputs!F35="","",Inputs!F35)</f>
        <v>508545</v>
      </c>
      <c r="G29" s="199">
        <f>IF(Inputs!G35="","",Inputs!G35)</f>
        <v>421056</v>
      </c>
      <c r="H29" s="199">
        <f>IF(Inputs!H35="","",Inputs!H35)</f>
        <v>449932</v>
      </c>
      <c r="I29" s="199">
        <f>IF(Inputs!I35="","",Inputs!I35)</f>
        <v>420626</v>
      </c>
      <c r="J29" s="199">
        <f>IF(Inputs!J35="","",Inputs!J35)</f>
        <v>296371</v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370793</v>
      </c>
      <c r="D30" s="199">
        <f>IF(Inputs!D36="","",Inputs!D36)</f>
        <v>415015</v>
      </c>
      <c r="E30" s="199">
        <f>IF(Inputs!E36="","",Inputs!E36)</f>
        <v>464999</v>
      </c>
      <c r="F30" s="199">
        <f>IF(Inputs!F36="","",Inputs!F36)</f>
        <v>363144</v>
      </c>
      <c r="G30" s="199">
        <f>IF(Inputs!G36="","",Inputs!G36)</f>
        <v>326593</v>
      </c>
      <c r="H30" s="199">
        <f>IF(Inputs!H36="","",Inputs!H36)</f>
        <v>294086</v>
      </c>
      <c r="I30" s="199">
        <f>IF(Inputs!I36="","",Inputs!I36)</f>
        <v>290728</v>
      </c>
      <c r="J30" s="199">
        <f>IF(Inputs!J36="","",Inputs!J36)</f>
        <v>215131</v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803015</v>
      </c>
      <c r="D31" s="199">
        <f>IF(Inputs!D37="","",Inputs!D37)</f>
        <v>896185</v>
      </c>
      <c r="E31" s="199">
        <f>IF(Inputs!E37="","",Inputs!E37)</f>
        <v>1060434</v>
      </c>
      <c r="F31" s="199">
        <f>IF(Inputs!F37="","",Inputs!F37)</f>
        <v>1065331</v>
      </c>
      <c r="G31" s="199">
        <f>IF(Inputs!G37="","",Inputs!G37)</f>
        <v>859227</v>
      </c>
      <c r="H31" s="199">
        <f>IF(Inputs!H37="","",Inputs!H37)</f>
        <v>796096</v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100207</v>
      </c>
      <c r="D32" s="199">
        <f>IF(Inputs!D38="","",Inputs!D38)</f>
        <v>112845</v>
      </c>
      <c r="E32" s="199">
        <f>IF(Inputs!E38="","",Inputs!E38)</f>
        <v>82874</v>
      </c>
      <c r="F32" s="199">
        <f>IF(Inputs!F38="","",Inputs!F38)</f>
        <v>75361</v>
      </c>
      <c r="G32" s="199">
        <f>IF(Inputs!G38="","",Inputs!G38)</f>
        <v>62385</v>
      </c>
      <c r="H32" s="199">
        <f>IF(Inputs!H38="","",Inputs!H38)</f>
        <v>53103</v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5523</v>
      </c>
      <c r="D33" s="199">
        <f>IF(Inputs!D39="","",Inputs!D39)</f>
        <v>8558</v>
      </c>
      <c r="E33" s="199">
        <f>IF(Inputs!E39="","",Inputs!E39)</f>
        <v>5576</v>
      </c>
      <c r="F33" s="199">
        <f>IF(Inputs!F39="","",Inputs!F39)</f>
        <v>7278</v>
      </c>
      <c r="G33" s="199">
        <f>IF(Inputs!G39="","",Inputs!G39)</f>
        <v>1660</v>
      </c>
      <c r="H33" s="199">
        <f>IF(Inputs!H39="","",Inputs!H39)</f>
        <v>0</v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2115</v>
      </c>
      <c r="D34" s="199">
        <f>IF(Inputs!D40="","",Inputs!D40)</f>
        <v>1113</v>
      </c>
      <c r="E34" s="199">
        <f>IF(Inputs!E40="","",Inputs!E40)</f>
        <v>5636</v>
      </c>
      <c r="F34" s="199">
        <f>IF(Inputs!F40="","",Inputs!F40)</f>
        <v>9396</v>
      </c>
      <c r="G34" s="199">
        <f>IF(Inputs!G40="","",Inputs!G40)</f>
        <v>131</v>
      </c>
      <c r="H34" s="199">
        <f>IF(Inputs!H40="","",Inputs!H40)</f>
        <v>0</v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7638</v>
      </c>
      <c r="D35" s="77">
        <f t="shared" ref="D35" si="22">IF(OR(D33="",D34=""),"",D33+D34)</f>
        <v>9671</v>
      </c>
      <c r="E35" s="77">
        <f t="shared" ref="E35" si="23">IF(OR(E33="",E34=""),"",E33+E34)</f>
        <v>11212</v>
      </c>
      <c r="F35" s="77">
        <f t="shared" ref="F35" si="24">IF(OR(F33="",F34=""),"",F33+F34)</f>
        <v>16674</v>
      </c>
      <c r="G35" s="77">
        <f t="shared" ref="G35" si="25">IF(OR(G33="",G34=""),"",G33+G34)</f>
        <v>1791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3666124</v>
      </c>
      <c r="D36" s="199">
        <f>IF(Inputs!D41="","",Inputs!D41)</f>
        <v>3674703</v>
      </c>
      <c r="E36" s="199">
        <f>IF(Inputs!E41="","",Inputs!E41)</f>
        <v>4116261</v>
      </c>
      <c r="F36" s="199">
        <f>IF(Inputs!F41="","",Inputs!F41)</f>
        <v>4043183</v>
      </c>
      <c r="G36" s="199">
        <f>IF(Inputs!G41="","",Inputs!G41)</f>
        <v>3712318</v>
      </c>
      <c r="H36" s="199">
        <f>IF(Inputs!H41="","",Inputs!H41)</f>
        <v>3595173</v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45613</v>
      </c>
      <c r="D37" s="199">
        <f>IF(Inputs!D42="","",Inputs!D42)</f>
        <v>43262</v>
      </c>
      <c r="E37" s="199">
        <f>IF(Inputs!E42="","",Inputs!E42)</f>
        <v>165622</v>
      </c>
      <c r="F37" s="199">
        <f>IF(Inputs!F42="","",Inputs!F42)</f>
        <v>143504</v>
      </c>
      <c r="G37" s="199">
        <f>IF(Inputs!G42="","",Inputs!G42)</f>
        <v>122753</v>
      </c>
      <c r="H37" s="199">
        <f>IF(Inputs!H42="","",Inputs!H42)</f>
        <v>114637</v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1668632</v>
      </c>
      <c r="D38" s="199">
        <f>IF(Inputs!D43="","",Inputs!D43)</f>
        <v>1696980</v>
      </c>
      <c r="E38" s="199">
        <f>IF(Inputs!E43="","",Inputs!E43)</f>
        <v>2130407</v>
      </c>
      <c r="F38" s="199">
        <f>IF(Inputs!F43="","",Inputs!F43)</f>
        <v>2344902</v>
      </c>
      <c r="G38" s="199">
        <f>IF(Inputs!G43="","",Inputs!G43)</f>
        <v>2164713</v>
      </c>
      <c r="H38" s="199">
        <f>IF(Inputs!H43="","",Inputs!H43)</f>
        <v>2079261</v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2900714</v>
      </c>
      <c r="D39" s="65">
        <f>IF(D38="","",D27-D38)</f>
        <v>2986753</v>
      </c>
      <c r="E39" s="65">
        <f t="shared" ref="E39:M39" si="32">IF(E38="","",E27-E38)</f>
        <v>3129162</v>
      </c>
      <c r="F39" s="65">
        <f t="shared" si="32"/>
        <v>2838973</v>
      </c>
      <c r="G39" s="65">
        <f t="shared" si="32"/>
        <v>2469217</v>
      </c>
      <c r="H39" s="65">
        <f t="shared" si="32"/>
        <v>2365111</v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0.1618107357935552</v>
      </c>
      <c r="D40" s="155">
        <f>IF(D6="","",D14/MAX(D39,0))</f>
        <v>0.1405660260490238</v>
      </c>
      <c r="E40" s="155">
        <f>IF(E6="","",E14/MAX(E39,0))</f>
        <v>0.13110166023150394</v>
      </c>
      <c r="F40" s="155">
        <f t="shared" ref="F40:M40" si="33">IF(F39="","",F14/F39)</f>
        <v>0.14199559723416413</v>
      </c>
      <c r="G40" s="155">
        <f t="shared" si="33"/>
        <v>0.12120886904634141</v>
      </c>
      <c r="H40" s="155">
        <f t="shared" si="33"/>
        <v>0.10624998150192529</v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0.66005868735054896</v>
      </c>
      <c r="D42" s="156">
        <f t="shared" si="34"/>
        <v>0.67972447545708514</v>
      </c>
      <c r="E42" s="156">
        <f t="shared" si="34"/>
        <v>0.68256268533378506</v>
      </c>
      <c r="F42" s="156">
        <f t="shared" si="34"/>
        <v>0.67072254065038917</v>
      </c>
      <c r="G42" s="156">
        <f t="shared" si="34"/>
        <v>0.67179343353689913</v>
      </c>
      <c r="H42" s="156">
        <f t="shared" si="34"/>
        <v>0.68874540320418509</v>
      </c>
      <c r="I42" s="156">
        <f t="shared" si="34"/>
        <v>0.64353259912668392</v>
      </c>
      <c r="J42" s="156">
        <f t="shared" si="34"/>
        <v>0.60409862713672169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0.21645682425674254</v>
      </c>
      <c r="D43" s="153">
        <f t="shared" si="35"/>
        <v>0.20718646164496579</v>
      </c>
      <c r="E43" s="153">
        <f t="shared" si="35"/>
        <v>0.19911932101072463</v>
      </c>
      <c r="F43" s="153">
        <f t="shared" si="35"/>
        <v>0.2031023230052344</v>
      </c>
      <c r="G43" s="153">
        <f t="shared" si="35"/>
        <v>0.21920822752649879</v>
      </c>
      <c r="H43" s="153">
        <f t="shared" si="35"/>
        <v>0.21628249436113042</v>
      </c>
      <c r="I43" s="153">
        <f t="shared" si="35"/>
        <v>0.26427683700109328</v>
      </c>
      <c r="J43" s="153">
        <f t="shared" si="35"/>
        <v>0.28549016029096108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7.0437342852983705E-5</v>
      </c>
      <c r="D45" s="153">
        <f t="shared" si="37"/>
        <v>6.3671844654465925E-5</v>
      </c>
      <c r="E45" s="153">
        <f t="shared" si="37"/>
        <v>9.440464936432048E-5</v>
      </c>
      <c r="F45" s="153">
        <f t="shared" si="37"/>
        <v>3.2965343477565238E-5</v>
      </c>
      <c r="G45" s="153">
        <f t="shared" si="37"/>
        <v>2.0726858543400585E-5</v>
      </c>
      <c r="H45" s="153">
        <f t="shared" si="37"/>
        <v>0</v>
      </c>
      <c r="I45" s="153">
        <f t="shared" si="37"/>
        <v>0</v>
      </c>
      <c r="J45" s="153">
        <f t="shared" si="37"/>
        <v>0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1.0365594158118095E-3</v>
      </c>
      <c r="D46" s="153">
        <f t="shared" ref="D46:M46" si="38">IF(D6="","",MAX(D12,0)/D6)</f>
        <v>9.8777402247739038E-3</v>
      </c>
      <c r="E46" s="153">
        <f t="shared" si="38"/>
        <v>1.2212771698951764E-2</v>
      </c>
      <c r="F46" s="153">
        <f t="shared" si="38"/>
        <v>1.1614410439934823E-2</v>
      </c>
      <c r="G46" s="153">
        <f t="shared" si="38"/>
        <v>1.2070804244212915E-2</v>
      </c>
      <c r="H46" s="153">
        <f t="shared" si="38"/>
        <v>1.1175032379316186E-2</v>
      </c>
      <c r="I46" s="153">
        <f t="shared" si="38"/>
        <v>1.1529821531713154E-2</v>
      </c>
      <c r="J46" s="153">
        <f t="shared" si="38"/>
        <v>8.3095523729310884E-3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7.3560847689942116E-2</v>
      </c>
      <c r="D47" s="153">
        <f t="shared" ref="D47:M47" si="39">IF(D6="","",ABS(MAX(D21,0)-MAX(D19,0))/D6)</f>
        <v>0.14457368381201122</v>
      </c>
      <c r="E47" s="153">
        <f t="shared" si="39"/>
        <v>6.8624938087361809E-2</v>
      </c>
      <c r="F47" s="153">
        <f t="shared" si="39"/>
        <v>6.3411964203047191E-2</v>
      </c>
      <c r="G47" s="153">
        <f t="shared" si="39"/>
        <v>8.4340825984744378E-2</v>
      </c>
      <c r="H47" s="153">
        <f t="shared" si="39"/>
        <v>6.5909081814628914E-2</v>
      </c>
      <c r="I47" s="153">
        <f t="shared" si="39"/>
        <v>8.2551560484875469E-2</v>
      </c>
      <c r="J47" s="153">
        <f t="shared" si="39"/>
        <v>0.1695810304934969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4.8816643944101623E-2</v>
      </c>
      <c r="D48" s="153">
        <f t="shared" si="40"/>
        <v>-4.1426032983490554E-2</v>
      </c>
      <c r="E48" s="153">
        <f t="shared" si="40"/>
        <v>3.7385879219812387E-2</v>
      </c>
      <c r="F48" s="153">
        <f t="shared" si="40"/>
        <v>5.1115796357916868E-2</v>
      </c>
      <c r="G48" s="153">
        <f t="shared" si="40"/>
        <v>1.2565981849101345E-2</v>
      </c>
      <c r="H48" s="153">
        <f t="shared" si="40"/>
        <v>1.7887988240739384E-2</v>
      </c>
      <c r="I48" s="153">
        <f t="shared" si="40"/>
        <v>-1.8908181443657939E-3</v>
      </c>
      <c r="J48" s="153">
        <f t="shared" si="40"/>
        <v>-6.7479370294110746E-2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0.11009565391159436</v>
      </c>
      <c r="D50" s="156">
        <f t="shared" si="41"/>
        <v>9.1661397555197838E-2</v>
      </c>
      <c r="E50" s="156">
        <f t="shared" si="41"/>
        <v>0.12295416718934081</v>
      </c>
      <c r="F50" s="156">
        <f t="shared" si="41"/>
        <v>0.1445203499896415</v>
      </c>
      <c r="G50" s="156">
        <f t="shared" si="41"/>
        <v>0.13636200235703244</v>
      </c>
      <c r="H50" s="156">
        <f t="shared" si="41"/>
        <v>0.1500359473767752</v>
      </c>
      <c r="I50" s="156">
        <f t="shared" si="41"/>
        <v>0.14492995312980766</v>
      </c>
      <c r="J50" s="156">
        <f t="shared" si="41"/>
        <v>0.11269266380344538</v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9.6732124698097721E-2</v>
      </c>
      <c r="D51" s="153">
        <f t="shared" si="42"/>
        <v>0.10202614134854508</v>
      </c>
      <c r="E51" s="153">
        <f t="shared" si="42"/>
        <v>0.12026867821851961</v>
      </c>
      <c r="F51" s="153">
        <f t="shared" si="42"/>
        <v>0.10319971286049096</v>
      </c>
      <c r="G51" s="153">
        <f t="shared" si="42"/>
        <v>0.10576948300413792</v>
      </c>
      <c r="H51" s="153">
        <f t="shared" si="42"/>
        <v>9.8066978166136909E-2</v>
      </c>
      <c r="I51" s="153">
        <f t="shared" si="42"/>
        <v>0.10017258898290339</v>
      </c>
      <c r="J51" s="153">
        <f t="shared" si="42"/>
        <v>8.1801814133970613E-2</v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>
        <f>IF(C36="","",(C27-C36)/C27)</f>
        <v>0.19766986347718032</v>
      </c>
      <c r="D53" s="156">
        <f t="shared" ref="D53:M53" si="43">IF(D36="","",(D27-D36)/D27)</f>
        <v>0.21543286092524916</v>
      </c>
      <c r="E53" s="156">
        <f t="shared" si="43"/>
        <v>0.21737674703003232</v>
      </c>
      <c r="F53" s="156">
        <f t="shared" si="43"/>
        <v>0.22004620095970678</v>
      </c>
      <c r="G53" s="156">
        <f t="shared" si="43"/>
        <v>0.19888345313804912</v>
      </c>
      <c r="H53" s="156">
        <f t="shared" si="43"/>
        <v>0.19107288948809867</v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>
        <f t="shared" ref="C54:M54" si="44">IF(OR(C22="",C35=""),"",IF(C35&lt;=0,"-",C22/C35))</f>
        <v>24.49903988827791</v>
      </c>
      <c r="D54" s="157">
        <f t="shared" si="44"/>
        <v>-17.424258091200496</v>
      </c>
      <c r="E54" s="157">
        <f t="shared" si="44"/>
        <v>12.892109644428587</v>
      </c>
      <c r="F54" s="157">
        <f t="shared" si="44"/>
        <v>10.787373555635522</v>
      </c>
      <c r="G54" s="157">
        <f t="shared" si="44"/>
        <v>21.664433277498603</v>
      </c>
      <c r="H54" s="157" t="str">
        <f t="shared" si="44"/>
        <v>-</v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1.4428960526995515E-3</v>
      </c>
      <c r="D55" s="153">
        <f t="shared" si="45"/>
        <v>-1.5370007714675686E-3</v>
      </c>
      <c r="E55" s="153">
        <f t="shared" si="45"/>
        <v>2.5251418806887761E-3</v>
      </c>
      <c r="F55" s="153">
        <f t="shared" si="45"/>
        <v>6.4491499353231795E-4</v>
      </c>
      <c r="G55" s="153">
        <f t="shared" si="45"/>
        <v>1.6494420246900854E-3</v>
      </c>
      <c r="H55" s="153" t="str">
        <f t="shared" si="45"/>
        <v>-</v>
      </c>
      <c r="I55" s="153" t="str">
        <f t="shared" si="45"/>
        <v>-</v>
      </c>
      <c r="J55" s="153" t="str">
        <f t="shared" si="45"/>
        <v>-</v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>
        <f t="shared" ref="C56:M56" si="46">IF(C28="","",C28/C31)</f>
        <v>3.0168041692869996</v>
      </c>
      <c r="D56" s="158">
        <f t="shared" si="46"/>
        <v>2.7942400285655307</v>
      </c>
      <c r="E56" s="158">
        <f t="shared" si="46"/>
        <v>2.9317232378441278</v>
      </c>
      <c r="F56" s="158">
        <f t="shared" si="46"/>
        <v>3.0944307449985029</v>
      </c>
      <c r="G56" s="158">
        <f t="shared" si="46"/>
        <v>3.4859449249150689</v>
      </c>
      <c r="H56" s="158">
        <f t="shared" si="46"/>
        <v>3.6713486815660423</v>
      </c>
      <c r="I56" s="158" t="e">
        <f t="shared" si="46"/>
        <v>#VALUE!</v>
      </c>
      <c r="J56" s="158" t="e">
        <f t="shared" si="46"/>
        <v>#VALUE!</v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3666124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3620511</v>
      </c>
      <c r="K3" s="24"/>
    </row>
    <row r="4" spans="1:11" ht="15" customHeight="1" x14ac:dyDescent="0.4">
      <c r="B4" s="3" t="s">
        <v>25</v>
      </c>
      <c r="C4" s="87"/>
      <c r="D4" s="65">
        <f>D3-I3</f>
        <v>45613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3.0168041692869996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1102192.4063363338</v>
      </c>
      <c r="E6" s="56">
        <f>1-D6/D3</f>
        <v>0.69935757592041792</v>
      </c>
      <c r="F6" s="87"/>
      <c r="G6" s="87"/>
      <c r="H6" s="1" t="s">
        <v>30</v>
      </c>
      <c r="I6" s="63">
        <f>(C24+C25)/I28</f>
        <v>2.527144573887163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1.0560519343669776</v>
      </c>
      <c r="E7" s="11" t="str">
        <f>Dashboard!H3</f>
        <v>HKD</v>
      </c>
      <c r="H7" s="1" t="s">
        <v>31</v>
      </c>
      <c r="I7" s="63">
        <f>C24/I28</f>
        <v>2.447959253563134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1322113</v>
      </c>
      <c r="D11" s="198">
        <f>Inputs!D48</f>
        <v>0.9</v>
      </c>
      <c r="E11" s="88">
        <f t="shared" ref="E11:E22" si="0">C11*D11</f>
        <v>1189901.7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5523</v>
      </c>
      <c r="J12" s="87"/>
      <c r="K12" s="24"/>
    </row>
    <row r="13" spans="1:11" ht="13.9" x14ac:dyDescent="0.4">
      <c r="B13" s="3" t="s">
        <v>117</v>
      </c>
      <c r="C13" s="40">
        <f>Inputs!C50</f>
        <v>422018</v>
      </c>
      <c r="D13" s="198">
        <f>Inputs!D50</f>
        <v>0.6</v>
      </c>
      <c r="E13" s="88">
        <f t="shared" si="0"/>
        <v>253210.8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221617</v>
      </c>
      <c r="D14" s="198">
        <f>Inputs!D51</f>
        <v>0.6</v>
      </c>
      <c r="E14" s="88">
        <f t="shared" si="0"/>
        <v>132970.19999999998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5523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63587</v>
      </c>
      <c r="D17" s="198">
        <f>Inputs!D54</f>
        <v>0.1</v>
      </c>
      <c r="E17" s="88">
        <f t="shared" si="0"/>
        <v>6358.7000000000007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370793</v>
      </c>
      <c r="D18" s="198">
        <f>Inputs!D55</f>
        <v>0.5</v>
      </c>
      <c r="E18" s="88">
        <f t="shared" si="0"/>
        <v>185396.5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22411</v>
      </c>
      <c r="D21" s="198">
        <f>Inputs!D58</f>
        <v>0.9</v>
      </c>
      <c r="E21" s="88">
        <f t="shared" si="0"/>
        <v>20169.900000000001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797492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3">
        <f>E24/$E$28</f>
        <v>0.88147417477709</v>
      </c>
      <c r="G24" s="87"/>
    </row>
    <row r="25" spans="2:10" ht="15" customHeight="1" x14ac:dyDescent="0.4">
      <c r="B25" s="23" t="s">
        <v>55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3">
        <f>E25/$E$28</f>
        <v>3.5563043964349605E-3</v>
      </c>
      <c r="G25" s="87"/>
      <c r="H25" s="23" t="s">
        <v>56</v>
      </c>
      <c r="I25" s="63">
        <f>E28/I28</f>
        <v>2.2266181827238594</v>
      </c>
    </row>
    <row r="26" spans="2:10" ht="15" customHeight="1" x14ac:dyDescent="0.4">
      <c r="B26" s="23" t="s">
        <v>57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3">
        <f>E26/$E$28</f>
        <v>0.10368886533940178</v>
      </c>
      <c r="G26" s="87"/>
      <c r="H26" s="23" t="s">
        <v>58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3">
        <f>E27/$E$28</f>
        <v>1.128065548707338E-2</v>
      </c>
      <c r="G27" s="87"/>
      <c r="H27" s="23" t="s">
        <v>60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2"/>
      <c r="G28" s="87"/>
      <c r="H28" s="78" t="s">
        <v>16</v>
      </c>
      <c r="I28" s="206">
        <f>Inputs!C77</f>
        <v>803015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39731</v>
      </c>
      <c r="D31" s="198">
        <f>Inputs!D61</f>
        <v>0.6</v>
      </c>
      <c r="E31" s="88">
        <f t="shared" ref="E31:E42" si="1">C31*D31</f>
        <v>23838.6</v>
      </c>
      <c r="F31" s="112"/>
      <c r="G31" s="87"/>
      <c r="H31" s="3" t="s">
        <v>64</v>
      </c>
      <c r="I31" s="40">
        <f>Inputs!C79</f>
        <v>2115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2115</v>
      </c>
      <c r="J34" s="87"/>
    </row>
    <row r="35" spans="2:10" ht="13.9" x14ac:dyDescent="0.4">
      <c r="B35" s="3" t="s">
        <v>70</v>
      </c>
      <c r="C35" s="40">
        <f>Inputs!C65</f>
        <v>85171</v>
      </c>
      <c r="D35" s="198">
        <f>Inputs!D65</f>
        <v>0.1</v>
      </c>
      <c r="E35" s="88">
        <f t="shared" si="1"/>
        <v>8517.1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1863998</v>
      </c>
      <c r="D38" s="198">
        <f>Inputs!D68</f>
        <v>0.1</v>
      </c>
      <c r="E38" s="88">
        <f t="shared" si="1"/>
        <v>186399.80000000002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23958</v>
      </c>
      <c r="D40" s="198">
        <f>Inputs!D70</f>
        <v>0.05</v>
      </c>
      <c r="E40" s="88">
        <f t="shared" si="1"/>
        <v>1197.9000000000001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71331</v>
      </c>
      <c r="D41" s="198">
        <f>Inputs!D71</f>
        <v>0.9</v>
      </c>
      <c r="E41" s="88">
        <f t="shared" si="1"/>
        <v>64197.9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62618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98092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81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83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85</v>
      </c>
      <c r="I48" s="207">
        <f>Inputs!C82</f>
        <v>100207</v>
      </c>
      <c r="J48" s="8"/>
    </row>
    <row r="49" spans="2:11" ht="15" customHeight="1" thickTop="1" x14ac:dyDescent="0.4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86</v>
      </c>
      <c r="I49" s="52">
        <f>I28+I48</f>
        <v>903222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45613</v>
      </c>
      <c r="D53" s="29">
        <f>IF(E53=0, 0,E53/C53)</f>
        <v>1.4632822586470069</v>
      </c>
      <c r="E53" s="88">
        <f>IF(C53=0,0,MAX(C53,C53*Dashboard!G23))</f>
        <v>66744.693663665923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7638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1322113</v>
      </c>
      <c r="D62" s="107">
        <f t="shared" si="2"/>
        <v>0.89999999999999991</v>
      </c>
      <c r="E62" s="118">
        <f>E11+E30</f>
        <v>1189901.7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7638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895584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3833194</v>
      </c>
      <c r="D74" s="209"/>
      <c r="E74" s="238">
        <f>Inputs!E91</f>
        <v>3833194</v>
      </c>
      <c r="F74" s="209"/>
      <c r="H74" s="238">
        <f>Inputs!F91</f>
        <v>3833194</v>
      </c>
      <c r="I74" s="209"/>
      <c r="K74" s="24"/>
    </row>
    <row r="75" spans="1:11" ht="15" customHeight="1" x14ac:dyDescent="0.4">
      <c r="B75" s="104" t="s">
        <v>106</v>
      </c>
      <c r="C75" s="77">
        <f>Data!C8</f>
        <v>2530133</v>
      </c>
      <c r="D75" s="159">
        <f>C75/$C$74</f>
        <v>0.66005868735054896</v>
      </c>
      <c r="E75" s="238">
        <f>Inputs!E92</f>
        <v>2530133</v>
      </c>
      <c r="F75" s="160">
        <f>E75/E74</f>
        <v>0.66005868735054896</v>
      </c>
      <c r="H75" s="238">
        <f>Inputs!F92</f>
        <v>2530133</v>
      </c>
      <c r="I75" s="160">
        <f>H75/$H$74</f>
        <v>0.66005868735054896</v>
      </c>
      <c r="K75" s="24"/>
    </row>
    <row r="76" spans="1:11" ht="15" customHeight="1" x14ac:dyDescent="0.4">
      <c r="B76" s="35" t="s">
        <v>96</v>
      </c>
      <c r="C76" s="161">
        <f>C74-C75</f>
        <v>1303061</v>
      </c>
      <c r="D76" s="210"/>
      <c r="E76" s="162">
        <f>E74-E75</f>
        <v>1303061</v>
      </c>
      <c r="F76" s="210"/>
      <c r="H76" s="162">
        <f>H74-H75</f>
        <v>1303061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829721</v>
      </c>
      <c r="D77" s="159">
        <f>C77/$C$74</f>
        <v>0.21645682425674254</v>
      </c>
      <c r="E77" s="238">
        <f>Inputs!E93</f>
        <v>829721</v>
      </c>
      <c r="F77" s="160">
        <f>E77/E74</f>
        <v>0.21645682425674254</v>
      </c>
      <c r="H77" s="238">
        <f>Inputs!F93</f>
        <v>829721</v>
      </c>
      <c r="I77" s="160">
        <f>H77/$H$74</f>
        <v>0.21645682425674254</v>
      </c>
      <c r="K77" s="24"/>
    </row>
    <row r="78" spans="1:11" ht="15" customHeight="1" x14ac:dyDescent="0.4">
      <c r="B78" s="73" t="s">
        <v>173</v>
      </c>
      <c r="C78" s="77">
        <f>MAX(Data!C12,0)</f>
        <v>3973.3333333333335</v>
      </c>
      <c r="D78" s="159">
        <f>C78/$C$74</f>
        <v>1.0365594158118095E-3</v>
      </c>
      <c r="E78" s="180">
        <f>E74*F78</f>
        <v>3973.3333333333335</v>
      </c>
      <c r="F78" s="160">
        <f>I78</f>
        <v>1.0365594158118095E-3</v>
      </c>
      <c r="H78" s="238">
        <f>Inputs!F97</f>
        <v>3973.3333333333335</v>
      </c>
      <c r="I78" s="160">
        <f>H78/$H$74</f>
        <v>1.0365594158118095E-3</v>
      </c>
      <c r="K78" s="24"/>
    </row>
    <row r="79" spans="1:11" ht="15" customHeight="1" x14ac:dyDescent="0.4">
      <c r="B79" s="256" t="s">
        <v>233</v>
      </c>
      <c r="C79" s="257">
        <f>C76-C77-C78</f>
        <v>469366.66666666669</v>
      </c>
      <c r="D79" s="258">
        <f>C79/C74</f>
        <v>0.12244792897689673</v>
      </c>
      <c r="E79" s="259">
        <f>E76-E77-E78</f>
        <v>469366.66666666669</v>
      </c>
      <c r="F79" s="258">
        <f>E79/E74</f>
        <v>0.12244792897689673</v>
      </c>
      <c r="G79" s="260"/>
      <c r="H79" s="259">
        <f>H76-H77-H78</f>
        <v>469366.66666666669</v>
      </c>
      <c r="I79" s="258">
        <f>H79/H74</f>
        <v>0.12244792897689673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270</v>
      </c>
      <c r="D81" s="159">
        <f>C81/$C$74</f>
        <v>7.0437342852983705E-5</v>
      </c>
      <c r="E81" s="180">
        <f>E74*F81</f>
        <v>270</v>
      </c>
      <c r="F81" s="160">
        <f>I81</f>
        <v>7.0437342852983705E-5</v>
      </c>
      <c r="H81" s="238">
        <f>Inputs!F94</f>
        <v>270</v>
      </c>
      <c r="I81" s="160">
        <f>H81/$H$74</f>
        <v>7.0437342852983705E-5</v>
      </c>
      <c r="K81" s="24"/>
    </row>
    <row r="82" spans="1:11" ht="15" customHeight="1" x14ac:dyDescent="0.4">
      <c r="B82" s="28" t="s">
        <v>247</v>
      </c>
      <c r="C82" s="77">
        <f>ABS(MAX(Data!C21,0)-MAX(Data!C19,0))</f>
        <v>281973</v>
      </c>
      <c r="D82" s="159">
        <f>C82/$C$74</f>
        <v>7.3560847689942116E-2</v>
      </c>
      <c r="E82" s="238">
        <f>Inputs!E95</f>
        <v>114995.81999999999</v>
      </c>
      <c r="F82" s="160">
        <f>E82/E74</f>
        <v>0.03</v>
      </c>
      <c r="H82" s="238">
        <f>Inputs!F95</f>
        <v>38331.94</v>
      </c>
      <c r="I82" s="160">
        <f>H82/$H$74</f>
        <v>0.01</v>
      </c>
      <c r="K82" s="24"/>
    </row>
    <row r="83" spans="1:11" ht="15" customHeight="1" thickBot="1" x14ac:dyDescent="0.45">
      <c r="B83" s="105" t="s">
        <v>126</v>
      </c>
      <c r="C83" s="163">
        <f>C79-C81-C82-C80</f>
        <v>187123.66666666669</v>
      </c>
      <c r="D83" s="164">
        <f>C83/$C$74</f>
        <v>4.8816643944101623E-2</v>
      </c>
      <c r="E83" s="165">
        <f>E79-E81-E82-E80</f>
        <v>354100.84666666668</v>
      </c>
      <c r="F83" s="164">
        <f>E83/E74</f>
        <v>9.237749163404374E-2</v>
      </c>
      <c r="H83" s="165">
        <f>H79-H81-H82-H80</f>
        <v>430764.72666666668</v>
      </c>
      <c r="I83" s="164">
        <f>H83/$H$74</f>
        <v>0.11237749163404374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140342.75</v>
      </c>
      <c r="D85" s="258">
        <f>C85/$C$74</f>
        <v>3.6612482958076217E-2</v>
      </c>
      <c r="E85" s="264">
        <f>E83*(1-F84)</f>
        <v>265575.63500000001</v>
      </c>
      <c r="F85" s="258">
        <f>E85/E74</f>
        <v>6.9283118725532805E-2</v>
      </c>
      <c r="G85" s="260"/>
      <c r="H85" s="264">
        <f>H83*(1-I84)</f>
        <v>323073.54500000004</v>
      </c>
      <c r="I85" s="258">
        <f>H85/$H$74</f>
        <v>8.4283118725532818E-2</v>
      </c>
      <c r="K85" s="24"/>
    </row>
    <row r="86" spans="1:11" ht="15" customHeight="1" x14ac:dyDescent="0.4">
      <c r="B86" s="87" t="s">
        <v>161</v>
      </c>
      <c r="C86" s="167">
        <f>C85*Data!C4/Common_Shares</f>
        <v>0.13446765896757154</v>
      </c>
      <c r="D86" s="209"/>
      <c r="E86" s="168">
        <f>E85*Data!C4/Common_Shares</f>
        <v>0.25445798886851123</v>
      </c>
      <c r="F86" s="209"/>
      <c r="H86" s="168">
        <f>H85*Data!C4/Common_Shares</f>
        <v>0.30954889561808058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2.6161023145441935E-2</v>
      </c>
      <c r="D87" s="209"/>
      <c r="E87" s="262">
        <f>E86*Exchange_Rate/Dashboard!G3</f>
        <v>4.9505445305157832E-2</v>
      </c>
      <c r="F87" s="209"/>
      <c r="H87" s="262">
        <f>H86*Exchange_Rate/Dashboard!G3</f>
        <v>6.0223520548264707E-2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0.15820000000000001</v>
      </c>
      <c r="D88" s="166">
        <f>C88/C86</f>
        <v>1.1764910701550311</v>
      </c>
      <c r="E88" s="170">
        <f>Inputs!E98</f>
        <v>0.15820000000000001</v>
      </c>
      <c r="F88" s="166">
        <f>E88/E86</f>
        <v>0.62171363022816462</v>
      </c>
      <c r="H88" s="170">
        <f>Inputs!F98</f>
        <v>0.15820000000000001</v>
      </c>
      <c r="I88" s="166">
        <f>H88/H86</f>
        <v>0.51106627172460062</v>
      </c>
      <c r="K88" s="24"/>
    </row>
    <row r="89" spans="1:11" ht="15" customHeight="1" x14ac:dyDescent="0.4">
      <c r="B89" s="87" t="s">
        <v>222</v>
      </c>
      <c r="C89" s="261">
        <f>C88*Exchange_Rate/Dashboard!G3</f>
        <v>3.0778210116731521E-2</v>
      </c>
      <c r="D89" s="209"/>
      <c r="E89" s="261">
        <f>E88*Exchange_Rate/Dashboard!G3</f>
        <v>3.0778210116731521E-2</v>
      </c>
      <c r="F89" s="209"/>
      <c r="H89" s="261">
        <f>H88*Exchange_Rate/Dashboard!G3</f>
        <v>3.0778210116731521E-2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CN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210</v>
      </c>
      <c r="F93" s="144">
        <f>FV(E87,D93,0,-(E86/(C93-D94)))*Exchange_Rate</f>
        <v>4.4999436471565399</v>
      </c>
      <c r="H93" s="87" t="s">
        <v>210</v>
      </c>
      <c r="I93" s="144">
        <f>FV(H87,D93,0,-(H86/(C93-D94)))*Exchange_Rate</f>
        <v>5.7594887663233703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</v>
      </c>
      <c r="E94" s="87" t="s">
        <v>211</v>
      </c>
      <c r="F94" s="144">
        <f>FV(E89,D93,0,-(E88/(C93-D94)))*Exchange_Rate</f>
        <v>2.5568198499242314</v>
      </c>
      <c r="H94" s="87" t="s">
        <v>211</v>
      </c>
      <c r="I94" s="144">
        <f>FV(H89,D93,0,-(H88/(C93-D94)))*Exchange_Rate</f>
        <v>2.5568198499242314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2988593.6679595429</v>
      </c>
      <c r="D97" s="213"/>
      <c r="E97" s="123">
        <f>PV(C94,D93,0,-F93)</f>
        <v>2.2372672915195682</v>
      </c>
      <c r="F97" s="213"/>
      <c r="H97" s="123">
        <f>PV(C94,D93,0,-I93)</f>
        <v>2.8634838218278285</v>
      </c>
      <c r="I97" s="123">
        <f>PV(C93,D93,0,-I93)</f>
        <v>4.0682722538785541</v>
      </c>
      <c r="K97" s="24"/>
    </row>
    <row r="98" spans="2:11" ht="15" customHeight="1" x14ac:dyDescent="0.4">
      <c r="B98" s="28" t="s">
        <v>145</v>
      </c>
      <c r="C98" s="91">
        <f>E53*Exchange_Rate</f>
        <v>66744.693663665923</v>
      </c>
      <c r="D98" s="213"/>
      <c r="E98" s="213"/>
      <c r="F98" s="213"/>
      <c r="H98" s="123">
        <f>C98*Data!$C$4/Common_Shares</f>
        <v>6.3950597415690244E-2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1168937.0999999999</v>
      </c>
      <c r="D99" s="214"/>
      <c r="E99" s="145">
        <f>IF(H99&gt;0,H99*(1-C94),H99*(1+C94))</f>
        <v>0.95200215201526783</v>
      </c>
      <c r="F99" s="214"/>
      <c r="H99" s="145">
        <f>C99*Data!$C$4/Common_Shares</f>
        <v>1.1200025317826681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4090786.0742958765</v>
      </c>
      <c r="D100" s="109">
        <f>MIN(F100*(1-C94),E100)</f>
        <v>2.9940632059834291</v>
      </c>
      <c r="E100" s="109">
        <f>MAX(E97-H98+E99,0)</f>
        <v>3.1253188461191455</v>
      </c>
      <c r="F100" s="109">
        <f>(E100+H100)/2</f>
        <v>3.5224273011569758</v>
      </c>
      <c r="H100" s="109">
        <f>MAX(C100*Data!$C$4/Common_Shares,0)</f>
        <v>3.9195357561948061</v>
      </c>
      <c r="I100" s="109">
        <f>MAX(I97-H98+H99,0)</f>
        <v>5.1243241882455317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1326731.5769893804</v>
      </c>
      <c r="D103" s="109">
        <f>MIN(F103*(1-C94),E103)</f>
        <v>1.080512643871514</v>
      </c>
      <c r="E103" s="123">
        <f>PV(C94,D93,0,-F94)</f>
        <v>1.271191345731193</v>
      </c>
      <c r="F103" s="109">
        <f>(E103+H103)/2</f>
        <v>1.271191345731193</v>
      </c>
      <c r="H103" s="123">
        <f>PV(C94,D93,0,-I94)</f>
        <v>1.271191345731193</v>
      </c>
      <c r="I103" s="109">
        <f>PV(C93,D93,0,-I94)</f>
        <v>1.8060351665991359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2294300.1144836815</v>
      </c>
      <c r="D106" s="109">
        <f>(D100+D103)/2</f>
        <v>2.0372879249274716</v>
      </c>
      <c r="E106" s="123">
        <f>(E100+E103)/2</f>
        <v>2.1982550959251692</v>
      </c>
      <c r="F106" s="109">
        <f>(F100+F103)/2</f>
        <v>2.3968093234440841</v>
      </c>
      <c r="H106" s="123">
        <f>(H100+H103)/2</f>
        <v>2.5953635509629995</v>
      </c>
      <c r="I106" s="123">
        <f>(I100+I103)/2</f>
        <v>3.4651796774223338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