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8329A5C-DA7F-457D-B842-9F9D3E719C4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F93" i="4"/>
  <c r="F92" i="4"/>
  <c r="E92" i="4"/>
  <c r="F91" i="4"/>
  <c r="F96" i="4" s="1"/>
  <c r="E91" i="4"/>
  <c r="E95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3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<sst xmlns="http://schemas.openxmlformats.org/spreadsheetml/2006/main" count="390" uniqueCount="268">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</sst>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260</v>
      </c>
    </row>
    <row r="5" spans="1:5" ht="13.9" x14ac:dyDescent="0.4">
      <c r="B5" s="141" t="s">
        <v>195</v>
      </c>
      <c r="C5" s="191" t="s">
        <v>261</v>
      </c>
    </row>
    <row r="6" spans="1:5" ht="13.9" x14ac:dyDescent="0.4">
      <c r="B6" s="141" t="s">
        <v>163</v>
      </c>
      <c r="C6" s="189">
        <v>45591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262</v>
      </c>
    </row>
    <row r="10" spans="1:5" ht="13.9" x14ac:dyDescent="0.4">
      <c r="B10" s="140" t="s">
        <v>217</v>
      </c>
      <c r="C10" s="193">
        <v>1462217799</v>
      </c>
    </row>
    <row r="11" spans="1:5" ht="13.9" x14ac:dyDescent="0.4">
      <c r="B11" s="140" t="s">
        <v>218</v>
      </c>
      <c r="C11" s="192" t="s">
        <v>263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3682.4</v>
      </c>
      <c r="D25" s="149">
        <v>2879.6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1499.6</v>
      </c>
      <c r="D26" s="150">
        <v>1274.2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1519.3</v>
      </c>
      <c r="D27" s="150">
        <v>1185.2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173</v>
      </c>
      <c r="D29" s="150">
        <v>138.30000000000001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33.299999999999997</v>
      </c>
      <c r="D30" s="150">
        <v>25.6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0.1026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3.6709997098199248E-2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949.6</v>
      </c>
      <c r="D72" s="248">
        <v>0</v>
      </c>
      <c r="E72" s="249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3682.4</v>
      </c>
      <c r="D91" s="209"/>
      <c r="E91" s="251">
        <f>C91</f>
        <v>3682.4</v>
      </c>
      <c r="F91" s="251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59">
        <f>C92/C91</f>
        <v>0.40723441233977836</v>
      </c>
      <c r="E92" s="252">
        <f>E91*D92</f>
        <v>1499.6</v>
      </c>
      <c r="F92" s="252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59">
        <f>C93/C91</f>
        <v>0.41258418422767756</v>
      </c>
      <c r="E93" s="252">
        <f>E91*D93</f>
        <v>1519.3</v>
      </c>
      <c r="F93" s="252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59">
        <f>C94/C91</f>
        <v>4.6980230284597004E-2</v>
      </c>
      <c r="E94" s="253"/>
      <c r="F94" s="252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59">
        <f>C97/C91</f>
        <v>1.2057353899630675E-2</v>
      </c>
      <c r="E97" s="253"/>
      <c r="F97" s="252">
        <f>F91*D97</f>
        <v>44.4</v>
      </c>
    </row>
    <row r="98" spans="2:7" ht="13.9" x14ac:dyDescent="0.4">
      <c r="B98" s="86" t="s">
        <v>207</v>
      </c>
      <c r="C98" s="237">
        <f>C44</f>
        <v>0.1026</v>
      </c>
      <c r="D98" s="266"/>
      <c r="E98" s="254">
        <f>F98</f>
        <v>0.1026</v>
      </c>
      <c r="F98" s="254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1910.HK</v>
      </c>
      <c r="D3" s="278"/>
      <c r="E3" s="87"/>
      <c r="F3" s="3" t="s">
        <v>1</v>
      </c>
      <c r="G3" s="132">
        <v>21.75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SAMSONITE</v>
      </c>
      <c r="D4" s="280"/>
      <c r="E4" s="87"/>
      <c r="F4" s="3" t="s">
        <v>2</v>
      </c>
      <c r="G4" s="283">
        <f>Inputs!C10</f>
        <v>1462217799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45591</v>
      </c>
      <c r="D5" s="282"/>
      <c r="E5" s="34"/>
      <c r="F5" s="35" t="s">
        <v>99</v>
      </c>
      <c r="G5" s="275">
        <f>G3*G4/1000000</f>
        <v>31803.237128249999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C0001</v>
      </c>
      <c r="E7" s="87"/>
      <c r="F7" s="35" t="s">
        <v>5</v>
      </c>
      <c r="G7" s="133">
        <v>7.7820900281270342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0.40723441233977836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2.5430751839795893</v>
      </c>
    </row>
    <row r="24" spans="1:8" ht="15.75" customHeight="1" x14ac:dyDescent="0.4">
      <c r="B24" s="137" t="s">
        <v>170</v>
      </c>
      <c r="C24" s="171">
        <f>Fin_Analysis!I81</f>
        <v>4.6980230284597004E-2</v>
      </c>
      <c r="F24" s="140" t="s">
        <v>259</v>
      </c>
      <c r="G24" s="268">
        <f>G3/(Fin_Analysis!H86*G7)</f>
        <v>12.214665831742357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0.44840034723873545</v>
      </c>
    </row>
    <row r="26" spans="1:8" ht="15.75" customHeight="1" x14ac:dyDescent="0.4">
      <c r="B26" s="138" t="s">
        <v>173</v>
      </c>
      <c r="C26" s="171">
        <f>Fin_Analysis!I83</f>
        <v>0.12114381924831638</v>
      </c>
      <c r="F26" s="141" t="s">
        <v>193</v>
      </c>
      <c r="G26" s="178">
        <f>Fin_Analysis!H88*Exchange_Rate/G3</f>
        <v>3.6709997098199248E-2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15.424335973672809</v>
      </c>
      <c r="D29" s="129">
        <f>G29*(1+G20)</f>
        <v>31.411702253315898</v>
      </c>
      <c r="E29" s="87"/>
      <c r="F29" s="131">
        <f>IF(Fin_Analysis!C108="Profit",Fin_Analysis!F100,IF(Fin_Analysis!C108="Dividend",Fin_Analysis!F103,Fin_Analysis!F106))</f>
        <v>18.146277616085658</v>
      </c>
      <c r="G29" s="274">
        <f>IF(Fin_Analysis!C108="Profit",Fin_Analysis!I100,IF(Fin_Analysis!C108="Dividend",Fin_Analysis!I103,Fin_Analysis!I106))</f>
        <v>27.314523698535567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3682.4</v>
      </c>
      <c r="D6" s="200">
        <f>IF(Inputs!D25="","",Inputs!D25)</f>
        <v>2879.6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1499.6</v>
      </c>
      <c r="D8" s="199">
        <f>IF(Inputs!D26="","",Inputs!D26)</f>
        <v>1274.2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2182.8000000000002</v>
      </c>
      <c r="D9" s="151">
        <f t="shared" si="2"/>
        <v>1605.3999999999999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1519.3</v>
      </c>
      <c r="D10" s="199">
        <f>IF(Inputs!D27="","",Inputs!D27)</f>
        <v>1185.2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44.4</v>
      </c>
      <c r="D12" s="199">
        <f>IF(Inputs!D30="","",MAX(Inputs!D30,0)/(1-Fin_Analysis!$I$84))</f>
        <v>34.133333333333333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0.16812404953291338</v>
      </c>
      <c r="D13" s="229">
        <f t="shared" si="3"/>
        <v>0.13406954669630036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619.10000000000025</v>
      </c>
      <c r="D14" s="230">
        <f t="shared" ref="D14:M14" si="4">IF(D6="","",D9-D10-MAX(D11,0)-MAX(D12,0))</f>
        <v>386.06666666666649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0.60360904852357244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173</v>
      </c>
      <c r="D17" s="199">
        <f>IF(Inputs!D29="","",Inputs!D29)</f>
        <v>138.30000000000001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446.10000000000025</v>
      </c>
      <c r="D22" s="161">
        <f t="shared" ref="D22:M22" si="8">IF(D6="","",D14-MAX(D16,0)-MAX(D17,0)-ABS(MAX(D21,0)-MAX(D19,0)))</f>
        <v>247.76666666666648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9.0857864436237279E-2</v>
      </c>
      <c r="D23" s="153">
        <f t="shared" si="9"/>
        <v>6.4531532157244026E-2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0.80048432665142144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0.13989063629790316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0.40723441233977836</v>
      </c>
      <c r="D42" s="156">
        <f t="shared" si="34"/>
        <v>0.44249201277955275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0.41258418422767756</v>
      </c>
      <c r="D43" s="153">
        <f t="shared" si="35"/>
        <v>0.41158494235310461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4.6980230284597004E-2</v>
      </c>
      <c r="D45" s="153">
        <f t="shared" si="37"/>
        <v>4.8027503819975004E-2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1.2057353899630675E-2</v>
      </c>
      <c r="D46" s="153">
        <f t="shared" ref="D46:M46" si="38">IF(D6="","",MAX(D12,0)/D6)</f>
        <v>1.1853498171042275E-2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0.12114381924831638</v>
      </c>
      <c r="D48" s="153">
        <f t="shared" si="40"/>
        <v>8.6042042876325359E-2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9.3987616771670654E-2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0.17317510319356941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>
        <f>IF(C36="","",(C27-C36)/C27)</f>
        <v>0.69338497643624419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>
        <f t="shared" ref="C54:M54" si="44">IF(OR(C22="",C35=""),"",IF(C35&lt;=0,"-",C22/C35))</f>
        <v>0.18181447668731671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0.38780542479264718</v>
      </c>
      <c r="D55" s="153">
        <f t="shared" si="45"/>
        <v>0.55818646576079689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>
        <f t="shared" ref="C56:M56" si="46">IF(C28="","",C28/C31)</f>
        <v>1.6054727211114874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-18607.077887985412</v>
      </c>
      <c r="E6" s="56">
        <f>1-D6/D3</f>
        <v>12.578766576219916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8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8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8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8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6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8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8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8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7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2.5430751839795893</v>
      </c>
      <c r="E53" s="88">
        <f>IF(C53=0,0,MAX(C53,C53*Dashboard!G23))</f>
        <v>325.76793106778632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2453.6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09"/>
      <c r="E74" s="238">
        <f>Inputs!E91</f>
        <v>3682.4</v>
      </c>
      <c r="F74" s="209"/>
      <c r="H74" s="238">
        <f>Inputs!F91</f>
        <v>3682.4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59">
        <f>C75/$C$74</f>
        <v>0.40723441233977836</v>
      </c>
      <c r="E75" s="238">
        <f>Inputs!E92</f>
        <v>1499.6</v>
      </c>
      <c r="F75" s="160">
        <f>E75/E74</f>
        <v>0.40723441233977836</v>
      </c>
      <c r="H75" s="238">
        <f>Inputs!F92</f>
        <v>1499.6</v>
      </c>
      <c r="I75" s="160">
        <f>H75/$H$74</f>
        <v>0.40723441233977836</v>
      </c>
      <c r="K75" s="24"/>
    </row>
    <row r="76" spans="1:11" ht="15" customHeight="1" x14ac:dyDescent="0.4">
      <c r="B76" s="35" t="s">
        <v>95</v>
      </c>
      <c r="C76" s="161">
        <f>C74-C75</f>
        <v>2182.8000000000002</v>
      </c>
      <c r="D76" s="210"/>
      <c r="E76" s="162">
        <f>E74-E75</f>
        <v>2182.8000000000002</v>
      </c>
      <c r="F76" s="210"/>
      <c r="H76" s="162">
        <f>H74-H75</f>
        <v>2182.8000000000002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59">
        <f>C77/$C$74</f>
        <v>0.41258418422767756</v>
      </c>
      <c r="E77" s="238">
        <f>Inputs!E93</f>
        <v>1519.3</v>
      </c>
      <c r="F77" s="160">
        <f>E77/E74</f>
        <v>0.41258418422767756</v>
      </c>
      <c r="H77" s="238">
        <f>Inputs!F93</f>
        <v>1519.3</v>
      </c>
      <c r="I77" s="160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59">
        <f>C78/$C$74</f>
        <v>1.2057353899630675E-2</v>
      </c>
      <c r="E78" s="180">
        <f>E74*F78</f>
        <v>44.4</v>
      </c>
      <c r="F78" s="160">
        <f>I78</f>
        <v>1.2057353899630675E-2</v>
      </c>
      <c r="H78" s="238">
        <f>Inputs!F97</f>
        <v>44.4</v>
      </c>
      <c r="I78" s="160">
        <f>H78/$H$74</f>
        <v>1.2057353899630675E-2</v>
      </c>
      <c r="K78" s="24"/>
    </row>
    <row r="79" spans="1:11" ht="15" customHeight="1" x14ac:dyDescent="0.4">
      <c r="B79" s="256" t="s">
        <v>232</v>
      </c>
      <c r="C79" s="257">
        <f>C76-C77-C78</f>
        <v>619.10000000000025</v>
      </c>
      <c r="D79" s="258">
        <f>C79/C74</f>
        <v>0.16812404953291338</v>
      </c>
      <c r="E79" s="259">
        <f>E76-E77-E78</f>
        <v>619.10000000000025</v>
      </c>
      <c r="F79" s="258">
        <f>E79/E74</f>
        <v>0.16812404953291338</v>
      </c>
      <c r="G79" s="260"/>
      <c r="H79" s="259">
        <f>H76-H77-H78</f>
        <v>619.10000000000025</v>
      </c>
      <c r="I79" s="258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59">
        <f>C81/$C$74</f>
        <v>4.6980230284597004E-2</v>
      </c>
      <c r="E81" s="180">
        <f>E74*F81</f>
        <v>173</v>
      </c>
      <c r="F81" s="160">
        <f>I81</f>
        <v>4.6980230284597004E-2</v>
      </c>
      <c r="H81" s="238">
        <f>Inputs!F94</f>
        <v>173</v>
      </c>
      <c r="I81" s="160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446.10000000000025</v>
      </c>
      <c r="D83" s="164">
        <f>C83/$C$74</f>
        <v>0.12114381924831638</v>
      </c>
      <c r="E83" s="165">
        <f>E79-E81-E82-E80</f>
        <v>446.10000000000025</v>
      </c>
      <c r="F83" s="164">
        <f>E83/E74</f>
        <v>0.12114381924831638</v>
      </c>
      <c r="H83" s="165">
        <f>H79-H81-H82-H80</f>
        <v>446.10000000000025</v>
      </c>
      <c r="I83" s="164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334.57500000000016</v>
      </c>
      <c r="D85" s="258">
        <f>C85/$C$74</f>
        <v>9.0857864436237279E-2</v>
      </c>
      <c r="E85" s="264">
        <f>E83*(1-F84)</f>
        <v>334.57500000000016</v>
      </c>
      <c r="F85" s="258">
        <f>E85/E74</f>
        <v>9.0857864436237279E-2</v>
      </c>
      <c r="G85" s="260"/>
      <c r="H85" s="264">
        <f>H83*(1-I84)</f>
        <v>334.57500000000016</v>
      </c>
      <c r="I85" s="258">
        <f>H85/$H$74</f>
        <v>9.0857864436237279E-2</v>
      </c>
      <c r="K85" s="24"/>
    </row>
    <row r="86" spans="1:11" ht="15" customHeight="1" x14ac:dyDescent="0.4">
      <c r="B86" s="87" t="s">
        <v>160</v>
      </c>
      <c r="C86" s="167">
        <f>C85*Data!C4/Common_Shares</f>
        <v>0.22881338213008592</v>
      </c>
      <c r="D86" s="209"/>
      <c r="E86" s="168">
        <f>E85*Data!C4/Common_Shares</f>
        <v>0.22881338213008592</v>
      </c>
      <c r="F86" s="209"/>
      <c r="H86" s="168">
        <f>H85*Data!C4/Common_Shares</f>
        <v>0.22881338213008592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8.1868797212715505E-2</v>
      </c>
      <c r="D87" s="209"/>
      <c r="E87" s="262">
        <f>E86*Exchange_Rate/Dashboard!G3</f>
        <v>8.1868797212715505E-2</v>
      </c>
      <c r="F87" s="209"/>
      <c r="H87" s="262">
        <f>H86*Exchange_Rate/Dashboard!G3</f>
        <v>8.1868797212715505E-2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0.1026</v>
      </c>
      <c r="D88" s="166">
        <f>C88/C86</f>
        <v>0.44840034723873545</v>
      </c>
      <c r="E88" s="170">
        <f>Inputs!E98</f>
        <v>0.1026</v>
      </c>
      <c r="F88" s="166">
        <f>E88/E86</f>
        <v>0.44840034723873545</v>
      </c>
      <c r="H88" s="170">
        <f>Inputs!F98</f>
        <v>0.1026</v>
      </c>
      <c r="I88" s="166">
        <f>H88/H86</f>
        <v>0.44840034723873545</v>
      </c>
      <c r="K88" s="24"/>
    </row>
    <row r="89" spans="1:11" ht="15" customHeight="1" x14ac:dyDescent="0.4">
      <c r="B89" s="87" t="s">
        <v>221</v>
      </c>
      <c r="C89" s="261">
        <f>C88*Exchange_Rate/Dashboard!G3</f>
        <v>3.6709997098199248E-2</v>
      </c>
      <c r="D89" s="209"/>
      <c r="E89" s="261">
        <f>E88*Exchange_Rate/Dashboard!G3</f>
        <v>3.6709997098199248E-2</v>
      </c>
      <c r="F89" s="209"/>
      <c r="H89" s="261">
        <f>H88*Exchange_Rate/Dashboard!G3</f>
        <v>3.6709997098199248E-2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209</v>
      </c>
      <c r="F93" s="144">
        <f>FV(E87,D93,0,-(E86/(C93-D94)))*Exchange_Rate</f>
        <v>39.985884933680154</v>
      </c>
      <c r="H93" s="87" t="s">
        <v>209</v>
      </c>
      <c r="I93" s="144">
        <f>FV(H87,D93,0,-(H86/(C93-D94)))*Exchange_Rate</f>
        <v>39.985884933680154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14.487255131038136</v>
      </c>
      <c r="H94" s="87" t="s">
        <v>210</v>
      </c>
      <c r="I94" s="144">
        <f>FV(H89,D93,0,-(H88/(C93-D94)))*Exchange_Rate</f>
        <v>14.487255131038136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29068.965483681935</v>
      </c>
      <c r="D97" s="213"/>
      <c r="E97" s="123">
        <f>PV(C94,D93,0,-F93)</f>
        <v>19.880051729340174</v>
      </c>
      <c r="F97" s="213"/>
      <c r="H97" s="123">
        <f>PV(C94,D93,0,-I93)</f>
        <v>19.880051729340174</v>
      </c>
      <c r="I97" s="123">
        <f>PV(C93,D93,0,-I93)</f>
        <v>29.048297811790082</v>
      </c>
      <c r="K97" s="24"/>
    </row>
    <row r="98" spans="2:11" ht="15" customHeight="1" x14ac:dyDescent="0.4">
      <c r="B98" s="28" t="s">
        <v>144</v>
      </c>
      <c r="C98" s="91">
        <f>E53*Exchange_Rate</f>
        <v>2535.1553678461951</v>
      </c>
      <c r="D98" s="213"/>
      <c r="E98" s="213"/>
      <c r="F98" s="213"/>
      <c r="H98" s="123">
        <f>C98*Data!$C$4/Common_Shares</f>
        <v>1.7337741132545161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26533.810115835739</v>
      </c>
      <c r="D100" s="109">
        <f>MIN(F100*(1-C94),E100)</f>
        <v>15.424335973672809</v>
      </c>
      <c r="E100" s="109">
        <f>MAX(E97-H98+E99,0)</f>
        <v>18.146277616085658</v>
      </c>
      <c r="F100" s="109">
        <f>(E100+H100)/2</f>
        <v>18.146277616085658</v>
      </c>
      <c r="H100" s="109">
        <f>MAX(C100*Data!$C$4/Common_Shares,0)</f>
        <v>18.146277616085658</v>
      </c>
      <c r="I100" s="109">
        <f>MAX(I97-H98+H99,0)</f>
        <v>27.314523698535567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10531.954464829758</v>
      </c>
      <c r="D103" s="109">
        <f>MIN(F103*(1-C94),E103)</f>
        <v>6.1223172780604989</v>
      </c>
      <c r="E103" s="123">
        <f>PV(C94,D93,0,-F94)</f>
        <v>7.2027262094829396</v>
      </c>
      <c r="F103" s="109">
        <f>(E103+H103)/2</f>
        <v>7.2027262094829396</v>
      </c>
      <c r="H103" s="123">
        <f>PV(C94,D93,0,-I94)</f>
        <v>7.2027262094829396</v>
      </c>
      <c r="I103" s="109">
        <f>PV(C93,D93,0,-I94)</f>
        <v>10.524466376566648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18532.882290332749</v>
      </c>
      <c r="D106" s="109">
        <f>(D100+D103)/2</f>
        <v>10.773326625866654</v>
      </c>
      <c r="E106" s="123">
        <f>(E100+E103)/2</f>
        <v>12.674501912784299</v>
      </c>
      <c r="F106" s="109">
        <f>(F100+F103)/2</f>
        <v>12.674501912784299</v>
      </c>
      <c r="H106" s="123">
        <f>(H100+H103)/2</f>
        <v>12.674501912784299</v>
      </c>
      <c r="I106" s="123">
        <f>(I100+I103)/2</f>
        <v>18.919495037551108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