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4A2F98E-1437-4113-90E6-143E316C902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3" i="4"/>
  <c r="E93" i="4"/>
  <c r="F92" i="4"/>
  <c r="F91" i="4"/>
  <c r="F97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F95" i="4"/>
  <c r="E95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<sst xmlns="http://schemas.openxmlformats.org/spreadsheetml/2006/main" count="390" uniqueCount="268">
  <si>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</si>
  <si>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</si>
  <si>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</si>
  <si>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</si>
  <si>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</si>
  <si>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</si>
  <si>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</si>
  <si>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</si>
  <si>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</si>
  <si>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</si>
  <si>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</si>
  <si>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</si>
  <si>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</si>
  <si>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</si>
  <si>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</si>
  <si>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</si>
  <si>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</si>
  <si>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</si>
  <si>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</si>
  <si>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</si>
  <si>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</si>
  <si>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</si>
  <si>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</si>
  <si>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</si>
  <si>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</si>
  <si>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</si>
  <si>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</si>
  <si>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</si>
  <si>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</si>
  <si>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</si>
  <si>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</si>
  <si>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</si>
  <si>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</si>
  <si>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</si>
  <si>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</si>
  <si>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</si>
  <si>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</si>
  <si>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</si>
  <si>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</si>
  <si>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</si>
  <si>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</si>
  <si>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</si>
  <si>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</si>
  <si>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</si>
  <si>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</si>
  <si>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</si>
  <si>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</si>
  <si>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</si>
  <si>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</si>
  <si>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</si>
  <si>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</si>
  <si>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</si>
  <si>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</si>
  <si>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</si>
  <si>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</si>
  <si>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</si>
  <si>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</si>
  <si>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</si>
  <si>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</si>
  <si>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</si>
  <si>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</si>
  <si>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</si>
  <si>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</si>
  <si>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</si>
  <si>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</si>
  <si>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</si>
  <si>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</si>
  <si>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</si>
  <si>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</si>
  <si>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</si>
  <si>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</si>
  <si>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</si>
  <si>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</si>
  <si>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</si>
  <si>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</si>
  <si>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</si>
  <si>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</si>
  <si>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</si>
  <si>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</si>
  <si>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</si>
  <si>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</si>
  <si>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</si>
  <si>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</si>
  <si>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</si>
  <si>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</si>
  <si>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</si>
  <si>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</si>
  <si>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</si>
  <si>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</si>
  <si>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</si>
  <si>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</si>
  <si>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</si>
  <si>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</si>
  <si>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</si>
  <si>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</si>
  <si>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</si>
  <si>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</si>
  <si>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</si>
  <si>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</si>
  <si>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</si>
  <si>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</si>
  <si>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</si>
  <si>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</si>
  <si>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</si>
  <si>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</si>
  <si>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</si>
  <si>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</si>
  <si>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</si>
  <si>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</si>
  <si>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</si>
  <si>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</si>
  <si>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</si>
  <si>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</si>
  <si>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</si>
  <si>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</si>
  <si>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</si>
  <si>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</si>
  <si>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</si>
  <si>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</si>
  <si>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</si>
  <si>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</si>
  <si>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</si>
  <si>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</si>
  <si>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</si>
  <si>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</si>
  <si>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</si>
  <si>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</si>
  <si>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</si>
  <si>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</si>
  <si>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</si>
  <si>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</si>
  <si>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</si>
  <si>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</si>
  <si>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</si>
  <si>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</si>
  <si>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</si>
  <si>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</si>
  <si>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</si>
  <si>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</si>
  <si>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</si>
  <si>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</si>
  <si>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</si>
  <si>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</si>
  <si>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</si>
  <si>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</si>
  <si>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</si>
  <si>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</si>
  <si>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</si>
  <si>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</si>
  <si>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</si>
  <si>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</si>
  <si>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</si>
  <si>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</si>
  <si>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</si>
  <si>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</si>
  <si>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</si>
  <si>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</si>
  <si>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</si>
  <si>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</si>
  <si>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</si>
  <si>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</si>
  <si>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</si>
  <si>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</si>
  <si>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</si>
  <si>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</si>
  <si>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</si>
  <si>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</si>
  <si>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</si>
  <si>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</si>
  <si>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</si>
  <si>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</si>
  <si>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</si>
  <si>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</si>
  <si>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</si>
  <si>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</si>
  <si>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</si>
  <si>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</si>
  <si>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</si>
  <si>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</si>
  <si>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</si>
  <si>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</si>
  <si>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</si>
  <si>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</si>
  <si>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</si>
  <si>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</si>
  <si>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</si>
  <si>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</si>
  <si>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</si>
  <si>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</si>
  <si>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</si>
  <si>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</si>
  <si>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</si>
  <si>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</si>
  <si>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</si>
  <si>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</si>
  <si>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</si>
  <si>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</si>
  <si>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</si>
  <si>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</si>
  <si>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</si>
  <si>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</si>
  <si>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</si>
  <si>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</si>
  <si>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</si>
  <si>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</si>
  <si>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</si>
  <si>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</si>
  <si>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</si>
  <si>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</si>
  <si>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</si>
  <si>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</si>
  <si>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</si>
  <si>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</si>
  <si>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</si>
  <si>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</si>
  <si>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</si>
  <si>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</si>
  <si>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</si>
  <si>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</si>
  <si>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</si>
  <si>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</si>
  <si>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</si>
  <si>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</si>
  <si>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</si>
  <si>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</si>
  <si>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</si>
  <si>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</si>
  <si>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</si>
  <si>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</si>
  <si>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</si>
  <si>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</si>
  <si>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</si>
  <si>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</si>
  <si>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</si>
  <si>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</si>
  <si>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</si>
  <si>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</si>
  <si>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</si>
  <si>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</si>
  <si>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</si>
  <si>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</si>
  <si>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</si>
  <si>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</si>
  <si>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</si>
  <si>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</si>
  <si>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</si>
  <si>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</si>
  <si>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</si>
  <si>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</si>
  <si>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</si>
  <si>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</si>
  <si>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</si>
  <si>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</si>
  <si>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</si>
  <si>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</si>
  <si>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</si>
  <si>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</si>
  <si>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</si>
  <si>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3988.HK</t>
  </si>
  <si>
    <t>中国银行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</si>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</sst>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1.1832950701880444E-2</c:v>
                </c:pt>
                <c:pt idx="1">
                  <c:v>0.19534620844359546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0.49757189674208302</c:v>
                </c:pt>
                <c:pt idx="6">
                  <c:v>0.29524894411244107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258</v>
      </c>
    </row>
    <row r="5" spans="1:5" ht="13.9" x14ac:dyDescent="0.4">
      <c r="B5" s="141" t="s">
        <v>195</v>
      </c>
      <c r="C5" s="191" t="s">
        <v>259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45</v>
      </c>
      <c r="E8" s="267"/>
    </row>
    <row r="9" spans="1:5" ht="13.9" x14ac:dyDescent="0.4">
      <c r="B9" s="140" t="s">
        <v>216</v>
      </c>
      <c r="C9" s="192" t="s">
        <v>260</v>
      </c>
    </row>
    <row r="10" spans="1:5" ht="13.9" x14ac:dyDescent="0.4">
      <c r="B10" s="140" t="s">
        <v>217</v>
      </c>
      <c r="C10" s="193">
        <v>294387791241</v>
      </c>
    </row>
    <row r="11" spans="1:5" ht="13.9" x14ac:dyDescent="0.4">
      <c r="B11" s="140" t="s">
        <v>218</v>
      </c>
      <c r="C11" s="192" t="s">
        <v>261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262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263</v>
      </c>
      <c r="D17" s="24"/>
    </row>
    <row r="18" spans="2:13" ht="13.9" x14ac:dyDescent="0.4">
      <c r="B18" s="240" t="s">
        <v>238</v>
      </c>
      <c r="C18" s="242" t="s">
        <v>264</v>
      </c>
      <c r="D18" s="24"/>
    </row>
    <row r="19" spans="2:13" ht="13.9" x14ac:dyDescent="0.4">
      <c r="B19" s="240" t="s">
        <v>239</v>
      </c>
      <c r="C19" s="242" t="s">
        <v>264</v>
      </c>
      <c r="D19" s="24"/>
    </row>
    <row r="20" spans="2:13" ht="13.9" x14ac:dyDescent="0.4">
      <c r="B20" s="241" t="s">
        <v>228</v>
      </c>
      <c r="C20" s="242" t="s">
        <v>264</v>
      </c>
      <c r="D20" s="24"/>
    </row>
    <row r="21" spans="2:13" ht="13.9" x14ac:dyDescent="0.4">
      <c r="B21" s="224" t="s">
        <v>231</v>
      </c>
      <c r="C21" s="242" t="s">
        <v>263</v>
      </c>
      <c r="D21" s="24"/>
    </row>
    <row r="22" spans="2:13" ht="78.75" x14ac:dyDescent="0.4">
      <c r="B22" s="226" t="s">
        <v>230</v>
      </c>
      <c r="C22" s="243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1141220</v>
      </c>
      <c r="D25" s="149">
        <v>967950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13504</v>
      </c>
      <c r="D26" s="150">
        <v>12212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222933</v>
      </c>
      <c r="D27" s="150">
        <v>199506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582306</v>
      </c>
      <c r="D32" s="150">
        <v>421582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14467</v>
      </c>
      <c r="D33" s="150">
        <v>10203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0.2364+0.1208</f>
        <v>0.35720000000000002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0.10315641107156487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266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1141220</v>
      </c>
      <c r="D91" s="209"/>
      <c r="E91" s="251">
        <f>C91</f>
        <v>1141220</v>
      </c>
      <c r="F91" s="251">
        <f>C91</f>
        <v>1141220</v>
      </c>
    </row>
    <row r="92" spans="2:8" ht="13.9" x14ac:dyDescent="0.4">
      <c r="B92" s="104" t="s">
        <v>105</v>
      </c>
      <c r="C92" s="77">
        <f>C26</f>
        <v>13504</v>
      </c>
      <c r="D92" s="159">
        <f>C92/C91</f>
        <v>1.1832950701880444E-2</v>
      </c>
      <c r="E92" s="252">
        <f>E91*D92</f>
        <v>13504</v>
      </c>
      <c r="F92" s="252">
        <f>F91*D92</f>
        <v>13504</v>
      </c>
    </row>
    <row r="93" spans="2:8" ht="13.9" x14ac:dyDescent="0.4">
      <c r="B93" s="104" t="s">
        <v>246</v>
      </c>
      <c r="C93" s="77">
        <f>C27+C28</f>
        <v>222933</v>
      </c>
      <c r="D93" s="159">
        <f>C93/C91</f>
        <v>0.19534620844359546</v>
      </c>
      <c r="E93" s="252">
        <f>E91*D93</f>
        <v>222933</v>
      </c>
      <c r="F93" s="252">
        <f>F91*D93</f>
        <v>222933</v>
      </c>
    </row>
    <row r="94" spans="2:8" ht="13.9" x14ac:dyDescent="0.4">
      <c r="B94" s="104" t="s">
        <v>255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245</v>
      </c>
      <c r="C95" s="77">
        <f>ABS(MAX(C33,0)-C32)</f>
        <v>567839</v>
      </c>
      <c r="D95" s="159">
        <f>C95/C91</f>
        <v>0.49757189674208302</v>
      </c>
      <c r="E95" s="252">
        <f>E91*D95</f>
        <v>567839</v>
      </c>
      <c r="F95" s="252">
        <f>F91*D95</f>
        <v>567839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0.35720000000000002</v>
      </c>
      <c r="D98" s="266"/>
      <c r="E98" s="254">
        <f>F98</f>
        <v>0.3</v>
      </c>
      <c r="F98" s="254">
        <v>0.3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3988.HK : 中国银行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3988.HK</v>
      </c>
      <c r="D3" s="278"/>
      <c r="E3" s="87"/>
      <c r="F3" s="3" t="s">
        <v>1</v>
      </c>
      <c r="G3" s="132">
        <v>3.71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中国银行</v>
      </c>
      <c r="D4" s="280"/>
      <c r="E4" s="87"/>
      <c r="F4" s="3" t="s">
        <v>2</v>
      </c>
      <c r="G4" s="283">
        <f>Inputs!C10</f>
        <v>294387791241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1092178.7055041101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Y</v>
      </c>
      <c r="D7" s="187" t="str">
        <f>Inputs!C9</f>
        <v>C0014</v>
      </c>
      <c r="E7" s="87"/>
      <c r="F7" s="35" t="s">
        <v>5</v>
      </c>
      <c r="G7" s="133">
        <v>1.0714173714319866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1.1832950701880444E-2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0.19534620844359546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257</v>
      </c>
      <c r="G24" s="268">
        <f>G3/(Fin_Analysis!H86*G7)</f>
        <v>4.0338155012616932</v>
      </c>
    </row>
    <row r="25" spans="1:8" ht="15.75" customHeight="1" x14ac:dyDescent="0.4">
      <c r="B25" s="137" t="s">
        <v>243</v>
      </c>
      <c r="C25" s="171">
        <f>Fin_Analysis!I82</f>
        <v>0.49757189674208302</v>
      </c>
      <c r="F25" s="140" t="s">
        <v>174</v>
      </c>
      <c r="G25" s="171">
        <f>Fin_Analysis!I88</f>
        <v>0.34947978446388717</v>
      </c>
    </row>
    <row r="26" spans="1:8" ht="15.75" customHeight="1" x14ac:dyDescent="0.4">
      <c r="B26" s="138" t="s">
        <v>173</v>
      </c>
      <c r="C26" s="171">
        <f>Fin_Analysis!I83</f>
        <v>0.29524894411244107</v>
      </c>
      <c r="F26" s="141" t="s">
        <v>193</v>
      </c>
      <c r="G26" s="178">
        <f>Fin_Analysis!H88*Exchange_Rate/G3</f>
        <v>8.6637523296387048E-2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2.8582529137619255</v>
      </c>
      <c r="D29" s="129">
        <f>G29*(1+G20)</f>
        <v>5.4940782993629353</v>
      </c>
      <c r="E29" s="87"/>
      <c r="F29" s="131">
        <f>IF(Fin_Analysis!C108="Profit",Fin_Analysis!F100,IF(Fin_Analysis!C108="Dividend",Fin_Analysis!F103,Fin_Analysis!F106))</f>
        <v>3.3626504867787359</v>
      </c>
      <c r="G29" s="274">
        <f>IF(Fin_Analysis!C108="Profit",Fin_Analysis!I100,IF(Fin_Analysis!C108="Dividend",Fin_Analysis!I103,Fin_Analysis!I106))</f>
        <v>4.7774593907503791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904783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1141220</v>
      </c>
      <c r="D6" s="200">
        <f>IF(Inputs!D25="","",Inputs!D25)</f>
        <v>967950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0.17900718012294026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13504</v>
      </c>
      <c r="D8" s="199">
        <f>IF(Inputs!D26="","",Inputs!D26)</f>
        <v>12212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1127716</v>
      </c>
      <c r="D9" s="151">
        <f t="shared" si="2"/>
        <v>955738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222933</v>
      </c>
      <c r="D10" s="199">
        <f>IF(Inputs!D27="","",Inputs!D27)</f>
        <v>199506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0.79282084085452409</v>
      </c>
      <c r="D13" s="229">
        <f t="shared" si="3"/>
        <v>0.78127175990495379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904783</v>
      </c>
      <c r="D14" s="230">
        <f t="shared" ref="D14:M14" si="4">IF(D6="","",D9-D10-MAX(D11,0)-MAX(D12,0))</f>
        <v>756232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0.19643574987569953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0.51024868123587042</v>
      </c>
      <c r="D18" s="152">
        <f t="shared" si="6"/>
        <v>0.43554109199855362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582306</v>
      </c>
      <c r="D19" s="199">
        <f>IF(Inputs!D32="","",Inputs!D32)</f>
        <v>421582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1.267678449378735E-2</v>
      </c>
      <c r="D20" s="152">
        <f t="shared" si="7"/>
        <v>1.0540833720750039E-2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14467</v>
      </c>
      <c r="D21" s="199">
        <f>IF(Inputs!D33="","",Inputs!D33)</f>
        <v>10203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336944</v>
      </c>
      <c r="D22" s="161">
        <f t="shared" ref="D22:M22" si="8">IF(D6="","",D14-MAX(D16,0)-MAX(D17,0)-ABS(MAX(D21,0)-MAX(D19,0)))</f>
        <v>344853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0.2214367080843308</v>
      </c>
      <c r="D23" s="153">
        <f t="shared" si="9"/>
        <v>0.26720362622036264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252708</v>
      </c>
      <c r="D24" s="77">
        <f>IF(D6="","",D22*(1-Fin_Analysis!$I$84))</f>
        <v>258639.75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-2.2934409734002605E-2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1.1832950701880444E-2</v>
      </c>
      <c r="D42" s="156">
        <f t="shared" si="34"/>
        <v>1.2616354150524305E-2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0.19534620844359546</v>
      </c>
      <c r="D43" s="153">
        <f t="shared" si="35"/>
        <v>0.20611188594452193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0.49757189674208302</v>
      </c>
      <c r="D47" s="153">
        <f t="shared" ref="D47:M47" si="39">IF(D6="","",ABS(MAX(D21,0)-MAX(D19,0))/D6)</f>
        <v>0.42500025827780363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0.29524894411244107</v>
      </c>
      <c r="D48" s="153">
        <f t="shared" si="40"/>
        <v>0.35627150162715016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1141220</v>
      </c>
      <c r="D74" s="209"/>
      <c r="E74" s="238">
        <f>Inputs!E91</f>
        <v>1141220</v>
      </c>
      <c r="F74" s="209"/>
      <c r="H74" s="238">
        <f>Inputs!F91</f>
        <v>1141220</v>
      </c>
      <c r="I74" s="209"/>
      <c r="K74" s="24"/>
    </row>
    <row r="75" spans="1:11" ht="15" customHeight="1" x14ac:dyDescent="0.4">
      <c r="B75" s="104" t="s">
        <v>105</v>
      </c>
      <c r="C75" s="77">
        <f>Data!C8</f>
        <v>13504</v>
      </c>
      <c r="D75" s="159">
        <f>C75/$C$74</f>
        <v>1.1832950701880444E-2</v>
      </c>
      <c r="E75" s="238">
        <f>Inputs!E92</f>
        <v>13504</v>
      </c>
      <c r="F75" s="160">
        <f>E75/E74</f>
        <v>1.1832950701880444E-2</v>
      </c>
      <c r="H75" s="238">
        <f>Inputs!F92</f>
        <v>13504</v>
      </c>
      <c r="I75" s="160">
        <f>H75/$H$74</f>
        <v>1.1832950701880444E-2</v>
      </c>
      <c r="K75" s="24"/>
    </row>
    <row r="76" spans="1:11" ht="15" customHeight="1" x14ac:dyDescent="0.4">
      <c r="B76" s="35" t="s">
        <v>95</v>
      </c>
      <c r="C76" s="161">
        <f>C74-C75</f>
        <v>1127716</v>
      </c>
      <c r="D76" s="210"/>
      <c r="E76" s="162">
        <f>E74-E75</f>
        <v>1127716</v>
      </c>
      <c r="F76" s="210"/>
      <c r="H76" s="162">
        <f>H74-H75</f>
        <v>1127716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222933</v>
      </c>
      <c r="D77" s="159">
        <f>C77/$C$74</f>
        <v>0.19534620844359546</v>
      </c>
      <c r="E77" s="238">
        <f>Inputs!E93</f>
        <v>222933</v>
      </c>
      <c r="F77" s="160">
        <f>E77/E74</f>
        <v>0.19534620844359546</v>
      </c>
      <c r="H77" s="238">
        <f>Inputs!F93</f>
        <v>222933</v>
      </c>
      <c r="I77" s="160">
        <f>H77/$H$74</f>
        <v>0.19534620844359546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904783</v>
      </c>
      <c r="D79" s="258">
        <f>C79/C74</f>
        <v>0.79282084085452409</v>
      </c>
      <c r="E79" s="259">
        <f>E76-E77-E78</f>
        <v>904783</v>
      </c>
      <c r="F79" s="258">
        <f>E79/E74</f>
        <v>0.79282084085452409</v>
      </c>
      <c r="G79" s="260"/>
      <c r="H79" s="259">
        <f>H76-H77-H78</f>
        <v>904783</v>
      </c>
      <c r="I79" s="258">
        <f>H79/H74</f>
        <v>0.79282084085452409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567839</v>
      </c>
      <c r="D82" s="159">
        <f>C82/$C$74</f>
        <v>0.49757189674208302</v>
      </c>
      <c r="E82" s="238">
        <f>Inputs!E95</f>
        <v>567839</v>
      </c>
      <c r="F82" s="160">
        <f>E82/E74</f>
        <v>0.49757189674208302</v>
      </c>
      <c r="H82" s="238">
        <f>Inputs!F95</f>
        <v>567839</v>
      </c>
      <c r="I82" s="160">
        <f>H82/$H$74</f>
        <v>0.49757189674208302</v>
      </c>
      <c r="K82" s="24"/>
    </row>
    <row r="83" spans="1:11" ht="15" customHeight="1" thickBot="1" x14ac:dyDescent="0.45">
      <c r="B83" s="105" t="s">
        <v>125</v>
      </c>
      <c r="C83" s="163">
        <f>C79-C81-C82-C80</f>
        <v>336944</v>
      </c>
      <c r="D83" s="164">
        <f>C83/$C$74</f>
        <v>0.29524894411244107</v>
      </c>
      <c r="E83" s="165">
        <f>E79-E81-E82-E80</f>
        <v>336944</v>
      </c>
      <c r="F83" s="164">
        <f>E83/E74</f>
        <v>0.29524894411244107</v>
      </c>
      <c r="H83" s="165">
        <f>H79-H81-H82-H80</f>
        <v>336944</v>
      </c>
      <c r="I83" s="164">
        <f>H83/$H$74</f>
        <v>0.29524894411244107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252708</v>
      </c>
      <c r="D85" s="258">
        <f>C85/$C$74</f>
        <v>0.2214367080843308</v>
      </c>
      <c r="E85" s="264">
        <f>E83*(1-F84)</f>
        <v>252708</v>
      </c>
      <c r="F85" s="258">
        <f>E85/E74</f>
        <v>0.2214367080843308</v>
      </c>
      <c r="G85" s="260"/>
      <c r="H85" s="264">
        <f>H83*(1-I84)</f>
        <v>252708</v>
      </c>
      <c r="I85" s="258">
        <f>H85/$H$74</f>
        <v>0.2214367080843308</v>
      </c>
      <c r="K85" s="24"/>
    </row>
    <row r="86" spans="1:11" ht="15" customHeight="1" x14ac:dyDescent="0.4">
      <c r="B86" s="87" t="s">
        <v>160</v>
      </c>
      <c r="C86" s="167">
        <f>C85*Data!C4/Common_Shares</f>
        <v>0.85841875077326524</v>
      </c>
      <c r="D86" s="209"/>
      <c r="E86" s="168">
        <f>E85*Data!C4/Common_Shares</f>
        <v>0.85841875077326524</v>
      </c>
      <c r="F86" s="209"/>
      <c r="H86" s="168">
        <f>H85*Data!C4/Common_Shares</f>
        <v>0.85841875077326524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0.24790424839391415</v>
      </c>
      <c r="D87" s="209"/>
      <c r="E87" s="262">
        <f>E86*Exchange_Rate/Dashboard!G3</f>
        <v>0.24790424839391415</v>
      </c>
      <c r="F87" s="209"/>
      <c r="H87" s="262">
        <f>H86*Exchange_Rate/Dashboard!G3</f>
        <v>0.24790424839391415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0.35720000000000002</v>
      </c>
      <c r="D88" s="166">
        <f>C88/C86</f>
        <v>0.41611393003500163</v>
      </c>
      <c r="E88" s="170">
        <f>Inputs!E98</f>
        <v>0.3</v>
      </c>
      <c r="F88" s="166">
        <f>E88/E86</f>
        <v>0.34947978446388717</v>
      </c>
      <c r="H88" s="170">
        <f>Inputs!F98</f>
        <v>0.3</v>
      </c>
      <c r="I88" s="166">
        <f>H88/H86</f>
        <v>0.34947978446388717</v>
      </c>
      <c r="K88" s="24"/>
    </row>
    <row r="89" spans="1:11" ht="15" customHeight="1" x14ac:dyDescent="0.4">
      <c r="B89" s="87" t="s">
        <v>221</v>
      </c>
      <c r="C89" s="261">
        <f>C88*Exchange_Rate/Dashboard!G3</f>
        <v>0.10315641107156487</v>
      </c>
      <c r="D89" s="209"/>
      <c r="E89" s="261">
        <f>E88*Exchange_Rate/Dashboard!G3</f>
        <v>8.6637523296387048E-2</v>
      </c>
      <c r="F89" s="209"/>
      <c r="H89" s="261">
        <f>H88*Exchange_Rate/Dashboard!G3</f>
        <v>8.6637523296387048E-2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209</v>
      </c>
      <c r="F93" s="144">
        <f>FV(E87,D93,0,-(E86/(C93-D94)))*Exchange_Rate</f>
        <v>38.657316124621573</v>
      </c>
      <c r="H93" s="87" t="s">
        <v>209</v>
      </c>
      <c r="I93" s="144">
        <f>FV(H87,D93,0,-(H86/(C93-D94)))*Exchange_Rate</f>
        <v>38.657316124621573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6.7634912256327819</v>
      </c>
      <c r="H94" s="87" t="s">
        <v>210</v>
      </c>
      <c r="I94" s="144">
        <f>FV(H89,D93,0,-(H88/(C93-D94)))*Exchange_Rate</f>
        <v>6.7634912256327819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5657991.5193369621</v>
      </c>
      <c r="D97" s="213"/>
      <c r="E97" s="123">
        <f>PV(C94,D93,0,-F93)</f>
        <v>19.219518226233294</v>
      </c>
      <c r="F97" s="213"/>
      <c r="H97" s="123">
        <f>PV(C94,D93,0,-I93)</f>
        <v>19.219518226233294</v>
      </c>
      <c r="I97" s="123">
        <f>PV(C93,D93,0,-I93)</f>
        <v>27.305980266648554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5657991.5193369621</v>
      </c>
      <c r="D100" s="109">
        <f>MIN(F100*(1-C94),E100)</f>
        <v>16.336590492298299</v>
      </c>
      <c r="E100" s="109">
        <f>MAX(E97-H98+E99,0)</f>
        <v>19.219518226233294</v>
      </c>
      <c r="F100" s="109">
        <f>(E100+H100)/2</f>
        <v>19.219518226233294</v>
      </c>
      <c r="H100" s="109">
        <f>MAX(C100*Data!$C$4/Common_Shares,0)</f>
        <v>19.219518226233294</v>
      </c>
      <c r="I100" s="109">
        <f>MAX(I97-H98+H99,0)</f>
        <v>27.305980266648554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989923.24951826548</v>
      </c>
      <c r="D103" s="109">
        <f>MIN(F103*(1-C94),E103)</f>
        <v>2.8582529137619255</v>
      </c>
      <c r="E103" s="123">
        <f>PV(C94,D93,0,-F94)</f>
        <v>3.3626504867787359</v>
      </c>
      <c r="F103" s="109">
        <f>(E103+H103)/2</f>
        <v>3.3626504867787359</v>
      </c>
      <c r="H103" s="123">
        <f>PV(C94,D93,0,-I94)</f>
        <v>3.3626504867787359</v>
      </c>
      <c r="I103" s="109">
        <f>PV(C93,D93,0,-I94)</f>
        <v>4.7774593907503791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3323957.3844276136</v>
      </c>
      <c r="D106" s="109">
        <f>(D100+D103)/2</f>
        <v>9.597421703030113</v>
      </c>
      <c r="E106" s="123">
        <f>(E100+E103)/2</f>
        <v>11.291084356506015</v>
      </c>
      <c r="F106" s="109">
        <f>(F100+F103)/2</f>
        <v>11.291084356506015</v>
      </c>
      <c r="H106" s="123">
        <f>(H100+H103)/2</f>
        <v>11.291084356506015</v>
      </c>
      <c r="I106" s="123">
        <f>(I100+I103)/2</f>
        <v>16.041719828699467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