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C7B656D-4002-4925-A9F5-E558FF5DD3F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E95" i="4"/>
  <c r="F96" i="4"/>
  <c r="F97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<sst xmlns="http://schemas.openxmlformats.org/spreadsheetml/2006/main" count="390" uniqueCount="267">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</sst>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1333333500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6.472459813060924E-2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265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6601.HK</v>
      </c>
      <c r="D3" s="278"/>
      <c r="E3" s="87"/>
      <c r="F3" s="3" t="s">
        <v>1</v>
      </c>
      <c r="G3" s="132">
        <v>1.95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朝云集团</v>
      </c>
      <c r="D4" s="280"/>
      <c r="E4" s="87"/>
      <c r="F4" s="3" t="s">
        <v>2</v>
      </c>
      <c r="G4" s="283">
        <f>Inputs!C10</f>
        <v>1333333500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2600.000325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C0007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0.55541924442229906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0.801604977985659</v>
      </c>
    </row>
    <row r="24" spans="1:8" ht="15.75" customHeight="1" x14ac:dyDescent="0.4">
      <c r="B24" s="137" t="s">
        <v>170</v>
      </c>
      <c r="C24" s="171">
        <f>Fin_Analysis!I81</f>
        <v>6.208277497005729E-4</v>
      </c>
      <c r="F24" s="140" t="s">
        <v>259</v>
      </c>
      <c r="G24" s="268">
        <f>G3/(Fin_Analysis!H86*G7)</f>
        <v>40.165221925943307</v>
      </c>
    </row>
    <row r="25" spans="1:8" ht="15.75" customHeight="1" x14ac:dyDescent="0.4">
      <c r="B25" s="137" t="s">
        <v>243</v>
      </c>
      <c r="C25" s="171">
        <f>Fin_Analysis!I82</f>
        <v>1.2789175437999239E-2</v>
      </c>
      <c r="F25" s="140" t="s">
        <v>174</v>
      </c>
      <c r="G25" s="171">
        <f>Fin_Analysis!I88</f>
        <v>2.5996778479834153</v>
      </c>
    </row>
    <row r="26" spans="1:8" ht="15.75" customHeight="1" x14ac:dyDescent="0.4">
      <c r="B26" s="138" t="s">
        <v>173</v>
      </c>
      <c r="C26" s="171">
        <f>Fin_Analysis!I83</f>
        <v>4.9862433731434744E-2</v>
      </c>
      <c r="F26" s="141" t="s">
        <v>193</v>
      </c>
      <c r="G26" s="178">
        <f>Fin_Analysis!H88*Exchange_Rate/G3</f>
        <v>6.472459813060924E-2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1.2944710868600313</v>
      </c>
      <c r="D29" s="129">
        <f>G29*(1+G20)</f>
        <v>2.2004423765216998</v>
      </c>
      <c r="E29" s="87"/>
      <c r="F29" s="131">
        <f>IF(Fin_Analysis!C108="Profit",Fin_Analysis!F100,IF(Fin_Analysis!C108="Dividend",Fin_Analysis!F103,Fin_Analysis!F106))</f>
        <v>1.5229071610118017</v>
      </c>
      <c r="G29" s="274">
        <f>IF(Fin_Analysis!C108="Profit",Fin_Analysis!I100,IF(Fin_Analysis!C108="Dividend",Fin_Analysis!I103,Fin_Analysis!I106))</f>
        <v>1.9134281534971302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0.11203000770618693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9.7865479067953717E-2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0.1751627786077426</v>
      </c>
      <c r="D53" s="156">
        <f t="shared" ref="D53:M53" si="43">IF(D36="","",(D27-D36)/D27)</f>
        <v>0.21060858391144721</v>
      </c>
      <c r="E53" s="156">
        <f t="shared" si="43"/>
        <v>0.21276976631405353</v>
      </c>
      <c r="F53" s="156">
        <f t="shared" si="43"/>
        <v>0.84857949978181479</v>
      </c>
      <c r="G53" s="156">
        <f t="shared" si="43"/>
        <v>0.98878596160178012</v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2.369393217447572</v>
      </c>
      <c r="D54" s="157">
        <f t="shared" si="44"/>
        <v>-1.2060310581437341</v>
      </c>
      <c r="E54" s="157">
        <f t="shared" si="44"/>
        <v>5.3942585015762292</v>
      </c>
      <c r="F54" s="157">
        <f t="shared" si="44"/>
        <v>0.92325313885928983</v>
      </c>
      <c r="G54" s="157">
        <f t="shared" si="44"/>
        <v>20.080950024740229</v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1.2450811226833175E-2</v>
      </c>
      <c r="D55" s="153">
        <f t="shared" si="45"/>
        <v>-4.3070319908169882E-2</v>
      </c>
      <c r="E55" s="153">
        <f t="shared" si="45"/>
        <v>2.0056451512626985E-2</v>
      </c>
      <c r="F55" s="153">
        <f t="shared" si="45"/>
        <v>9.3355027935918562E-3</v>
      </c>
      <c r="G55" s="153">
        <f t="shared" si="45"/>
        <v>1.4735016114883846E-3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4.8753437887604978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2125286.5334459743</v>
      </c>
      <c r="E6" s="56">
        <f>1-D6/D3</f>
        <v>0.29795786681761316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1.70780146992818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33999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95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232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160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2.4897161077406756E-2</v>
      </c>
      <c r="D87" s="209"/>
      <c r="E87" s="262">
        <f>E86*Exchange_Rate/Dashboard!G3</f>
        <v>2.4897161077406756E-2</v>
      </c>
      <c r="F87" s="209"/>
      <c r="H87" s="262">
        <f>H86*Exchange_Rate/Dashboard!G3</f>
        <v>2.4897161077406756E-2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221</v>
      </c>
      <c r="C89" s="261">
        <f>C88*Exchange_Rate/Dashboard!G3</f>
        <v>6.472459813060924E-2</v>
      </c>
      <c r="D89" s="209"/>
      <c r="E89" s="261">
        <f>E88*Exchange_Rate/Dashboard!G3</f>
        <v>6.472459813060924E-2</v>
      </c>
      <c r="F89" s="209"/>
      <c r="H89" s="261">
        <f>H88*Exchange_Rate/Dashboard!G3</f>
        <v>6.472459813060924E-2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0.76252378471239246</v>
      </c>
      <c r="H93" s="87" t="s">
        <v>209</v>
      </c>
      <c r="I93" s="144">
        <f>FV(H87,D93,0,-(H86/(C93-D94)))*Exchange_Rate</f>
        <v>0.76252378471239246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2.3986004762829221</v>
      </c>
      <c r="H94" s="87" t="s">
        <v>210</v>
      </c>
      <c r="I94" s="144">
        <f>FV(H89,D93,0,-(H88/(C93-D94)))*Exchange_Rate</f>
        <v>2.3986004762829221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505478.84434565209</v>
      </c>
      <c r="D97" s="213"/>
      <c r="E97" s="123">
        <f>PV(C94,D93,0,-F93)</f>
        <v>0.37910908587060332</v>
      </c>
      <c r="F97" s="213"/>
      <c r="H97" s="123">
        <f>PV(C94,D93,0,-I93)</f>
        <v>0.37910908587060332</v>
      </c>
      <c r="I97" s="123">
        <f>PV(C93,D93,0,-I93)</f>
        <v>0.53861626997289602</v>
      </c>
      <c r="K97" s="24"/>
    </row>
    <row r="98" spans="2:11" ht="15" customHeight="1" x14ac:dyDescent="0.4">
      <c r="B98" s="28" t="s">
        <v>144</v>
      </c>
      <c r="C98" s="91">
        <f>E53*Exchange_Rate</f>
        <v>4274.9553120136261</v>
      </c>
      <c r="D98" s="213"/>
      <c r="E98" s="213"/>
      <c r="F98" s="213"/>
      <c r="H98" s="123">
        <f>C98*Data!$C$4/Common_Shares</f>
        <v>3.206216083233209E-3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2129561.488757988</v>
      </c>
      <c r="D99" s="214"/>
      <c r="E99" s="145">
        <f>IF(H99&gt;0,H99*(1-C94),H99*(1+C94))</f>
        <v>1.3575952793838075</v>
      </c>
      <c r="F99" s="214"/>
      <c r="H99" s="145">
        <f>C99*Data!$C$4/Common_Shares</f>
        <v>1.5971709169221264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2630765.3777916264</v>
      </c>
      <c r="D100" s="109">
        <f>MIN(F100*(1-C94),E100)</f>
        <v>1.5752930727492864</v>
      </c>
      <c r="E100" s="109">
        <f>MAX(E97-H98+E99,0)</f>
        <v>1.7334981491711776</v>
      </c>
      <c r="F100" s="109">
        <f>(E100+H100)/2</f>
        <v>1.8532859679403371</v>
      </c>
      <c r="H100" s="109">
        <f>MAX(C100*Data!$C$4/Common_Shares,0)</f>
        <v>1.9730737867094965</v>
      </c>
      <c r="I100" s="109">
        <f>MAX(I97-H98+H99,0)</f>
        <v>2.1325809708117891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1590038.0041990806</v>
      </c>
      <c r="D103" s="109">
        <f>MIN(F103*(1-C94),E103)</f>
        <v>1.0136491009707764</v>
      </c>
      <c r="E103" s="123">
        <f>PV(C94,D93,0,-F94)</f>
        <v>1.1925283540832663</v>
      </c>
      <c r="F103" s="109">
        <f>(E103+H103)/2</f>
        <v>1.1925283540832663</v>
      </c>
      <c r="H103" s="123">
        <f>PV(C94,D93,0,-I94)</f>
        <v>1.1925283540832663</v>
      </c>
      <c r="I103" s="109">
        <f>PV(C93,D93,0,-I94)</f>
        <v>1.6942753361824716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1950684.5793385042</v>
      </c>
      <c r="D106" s="109">
        <f>(D100+D103)/2</f>
        <v>1.2944710868600313</v>
      </c>
      <c r="E106" s="123">
        <f>(E100+E103)/2</f>
        <v>1.4630132516272218</v>
      </c>
      <c r="F106" s="109">
        <f>(F100+F103)/2</f>
        <v>1.5229071610118017</v>
      </c>
      <c r="H106" s="123">
        <f>(H100+H103)/2</f>
        <v>1.5828010703963815</v>
      </c>
      <c r="I106" s="123">
        <f>(I100+I103)/2</f>
        <v>1.9134281534971302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