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1C0470-0F83-4F2A-BADD-909687D7BCF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C45" i="4" s="1"/>
  <c r="D43" i="4"/>
  <c r="D40" i="4"/>
  <c r="D39" i="4"/>
  <c r="D35" i="4"/>
  <c r="E27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<sst xmlns="http://schemas.openxmlformats.org/spreadsheetml/2006/main" count="390" uniqueCount="267">
  <si>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</si>
  <si>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</si>
  <si>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</si>
  <si>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</si>
  <si>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</si>
  <si>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</si>
  <si>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</si>
  <si>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</si>
  <si>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</si>
  <si>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</si>
  <si>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</si>
  <si>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</si>
  <si>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</si>
  <si>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</si>
  <si>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</si>
  <si>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</si>
  <si>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</si>
  <si>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</si>
  <si>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</si>
  <si>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</si>
  <si>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</si>
  <si>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</si>
  <si>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</si>
  <si>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</si>
  <si>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</si>
  <si>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</si>
  <si>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</si>
  <si>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</si>
  <si>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</si>
  <si>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</si>
  <si>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</si>
  <si>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</si>
  <si>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</si>
  <si>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</si>
  <si>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</si>
  <si>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</si>
  <si>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</si>
  <si>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</si>
  <si>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</si>
  <si>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</si>
  <si>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</si>
  <si>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</si>
  <si>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</si>
  <si>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</si>
  <si>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</si>
  <si>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</si>
  <si>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</si>
  <si>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</si>
  <si>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</si>
  <si>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</si>
  <si>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</si>
  <si>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</si>
  <si>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</si>
  <si>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</si>
  <si>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</si>
  <si>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</si>
  <si>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</si>
  <si>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</si>
  <si>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</si>
  <si>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</si>
  <si>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</si>
  <si>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</si>
  <si>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</si>
  <si>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</si>
  <si>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</si>
  <si>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</si>
  <si>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</si>
  <si>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</si>
  <si>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</si>
  <si>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</si>
  <si>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</si>
  <si>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</si>
  <si>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</si>
  <si>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</si>
  <si>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</si>
  <si>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</si>
  <si>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</si>
  <si>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</si>
  <si>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</si>
  <si>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</si>
  <si>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</si>
  <si>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</si>
  <si>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</si>
  <si>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</si>
  <si>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</si>
  <si>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</si>
  <si>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</si>
  <si>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</si>
  <si>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</si>
  <si>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</si>
  <si>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</si>
  <si>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</si>
  <si>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</si>
  <si>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</si>
  <si>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</si>
  <si>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</si>
  <si>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</si>
  <si>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</si>
  <si>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</si>
  <si>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</si>
  <si>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</si>
  <si>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</si>
  <si>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</si>
  <si>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</si>
  <si>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</si>
  <si>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</si>
  <si>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</si>
  <si>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</si>
  <si>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</si>
  <si>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</si>
  <si>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</si>
  <si>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</si>
  <si>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</si>
  <si>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</si>
  <si>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</si>
  <si>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</si>
  <si>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</si>
  <si>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</si>
  <si>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</si>
  <si>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</si>
  <si>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</si>
  <si>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</si>
  <si>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</si>
  <si>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</si>
  <si>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</si>
  <si>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</si>
  <si>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</si>
  <si>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</si>
  <si>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</si>
  <si>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</si>
  <si>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</si>
  <si>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</si>
  <si>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</si>
  <si>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</si>
  <si>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</si>
  <si>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</si>
  <si>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</si>
  <si>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</si>
  <si>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</si>
  <si>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</si>
  <si>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</si>
  <si>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</si>
  <si>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</si>
  <si>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</si>
  <si>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</si>
  <si>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</si>
  <si>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</si>
  <si>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</si>
  <si>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</si>
  <si>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</si>
  <si>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</si>
  <si>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</si>
  <si>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</si>
  <si>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</si>
  <si>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</si>
  <si>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</si>
  <si>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</si>
  <si>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</si>
  <si>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</si>
  <si>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</si>
  <si>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</si>
  <si>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</si>
  <si>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</si>
  <si>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</si>
  <si>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</si>
  <si>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</si>
  <si>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</si>
  <si>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</si>
  <si>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</si>
  <si>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</si>
  <si>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</si>
  <si>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</si>
  <si>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</si>
  <si>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</si>
  <si>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</si>
  <si>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</si>
  <si>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</si>
  <si>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</si>
  <si>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</si>
  <si>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</si>
  <si>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</si>
  <si>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</si>
  <si>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</si>
  <si>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</si>
  <si>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</si>
  <si>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</si>
  <si>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</si>
  <si>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</si>
  <si>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</si>
  <si>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</si>
  <si>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</si>
  <si>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</si>
  <si>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</si>
  <si>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</si>
  <si>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</si>
  <si>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</si>
  <si>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</si>
  <si>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</si>
  <si>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</si>
  <si>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</si>
  <si>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</si>
  <si>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</si>
  <si>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</si>
  <si>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</si>
  <si>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</si>
  <si>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</si>
  <si>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</si>
  <si>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</si>
  <si>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</si>
  <si>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</si>
  <si>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</si>
  <si>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</si>
  <si>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</si>
  <si>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</si>
  <si>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</si>
  <si>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</si>
  <si>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</si>
  <si>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</si>
  <si>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</si>
  <si>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</si>
  <si>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</si>
  <si>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</si>
  <si>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</si>
  <si>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</si>
  <si>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</si>
  <si>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</si>
  <si>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</si>
  <si>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</si>
  <si>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</si>
  <si>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</si>
  <si>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</si>
  <si>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</si>
  <si>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</si>
  <si>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</si>
  <si>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</si>
  <si>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</si>
  <si>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</si>
  <si>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</si>
  <si>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</si>
  <si>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</si>
  <si>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</si>
  <si>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</si>
  <si>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</si>
  <si>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</si>
  <si>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</si>
  <si>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</si>
  <si>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</si>
  <si>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</si>
  <si>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</si>
  <si>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</si>
  <si>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</si>
  <si>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</si>
  <si>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</si>
  <si>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</si>
  <si>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</si>
  <si>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</si>
  <si>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</si>
  <si>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</si>
  <si>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</si>
  <si>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</si>
  <si>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</si>
  <si>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9988.HK</t>
  </si>
  <si>
    <t>阿里巴巴</t>
  </si>
  <si>
    <t>C0009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</si>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</sst>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19118002388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1.1479471836771286E-2</v>
      </c>
      <c r="D45" s="152">
        <f>IF(D44="","",D44*Exchange_Rate/Dashboard!$G$3)</f>
        <v>1.1479471836771286E-2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207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9988.HK</v>
      </c>
      <c r="D3" s="278"/>
      <c r="E3" s="87"/>
      <c r="F3" s="3" t="s">
        <v>1</v>
      </c>
      <c r="G3" s="132">
        <v>84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阿里巴巴</v>
      </c>
      <c r="D4" s="280"/>
      <c r="E4" s="87"/>
      <c r="F4" s="3" t="s">
        <v>2</v>
      </c>
      <c r="G4" s="283">
        <f>Inputs!C10</f>
        <v>19118002388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1605912.200592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0.62297379426414834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8.4437634938714454E-3</v>
      </c>
      <c r="F24" s="140" t="s">
        <v>260</v>
      </c>
      <c r="G24" s="268">
        <f>G3/(Fin_Analysis!H86*G7)</f>
        <v>14570.638923012515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167.26323916048565</v>
      </c>
    </row>
    <row r="26" spans="1:8" ht="15.75" customHeight="1" x14ac:dyDescent="0.4">
      <c r="B26" s="138" t="s">
        <v>173</v>
      </c>
      <c r="C26" s="171">
        <f>Fin_Analysis!I83</f>
        <v>0.14573239492488765</v>
      </c>
      <c r="F26" s="141" t="s">
        <v>193</v>
      </c>
      <c r="G26" s="178">
        <f>Fin_Analysis!H88*Exchange_Rate/G3</f>
        <v>1.1479471836771286E-2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3.3849085756036582E-2</v>
      </c>
      <c r="D29" s="129">
        <f>G29*(1+G20)</f>
        <v>6.5064055951840005E-2</v>
      </c>
      <c r="E29" s="87"/>
      <c r="F29" s="131">
        <f>IF(Fin_Analysis!C108="Profit",Fin_Analysis!F100,IF(Fin_Analysis!C108="Dividend",Fin_Analysis!F103,Fin_Analysis!F106))</f>
        <v>3.9822453830631273E-2</v>
      </c>
      <c r="G29" s="274">
        <f>IF(Fin_Analysis!C108="Profit",Fin_Analysis!I100,IF(Fin_Analysis!C108="Dividend",Fin_Analysis!I103,Fin_Analysis!I106))</f>
        <v>5.6577439958121749E-2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>
        <f>IF(D6="","",D14/MAX(D39,0))</f>
        <v>7.1615357710300412E-3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0.62297379426414834</v>
      </c>
      <c r="D42" s="156">
        <f t="shared" si="34"/>
        <v>0.63278833457850758</v>
      </c>
      <c r="E42" s="156">
        <f t="shared" si="34"/>
        <v>0.63236904234393276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0.22247037723339511</v>
      </c>
      <c r="D43" s="153">
        <f t="shared" si="35"/>
        <v>0.23302179035717122</v>
      </c>
      <c r="E43" s="153">
        <f t="shared" si="35"/>
        <v>0.24287331987592931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8.4437634938714454E-3</v>
      </c>
      <c r="D45" s="153">
        <f t="shared" si="37"/>
        <v>6.8125803655401775E-3</v>
      </c>
      <c r="E45" s="153">
        <f t="shared" si="37"/>
        <v>5.7545641465684789E-3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3.796700836974199E-4</v>
      </c>
      <c r="D46" s="153">
        <f t="shared" ref="D46:M46" si="38">IF(D6="","",MAX(D12,0)/D6)</f>
        <v>4.205580759621513E-4</v>
      </c>
      <c r="E46" s="153">
        <f t="shared" si="38"/>
        <v>4.5326912541722252E-4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0.14573239492488765</v>
      </c>
      <c r="D48" s="153">
        <f t="shared" si="40"/>
        <v>0.12695673662281889</v>
      </c>
      <c r="E48" s="153">
        <f t="shared" si="40"/>
        <v>0.1185498045081522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0.49636290171258463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2.5993931070684839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>
        <f t="shared" si="44"/>
        <v>6.7394804405410541E-2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5.7940195782986134E-2</v>
      </c>
      <c r="D55" s="153">
        <f t="shared" si="45"/>
        <v>5.3660644931193838E-2</v>
      </c>
      <c r="E55" s="153">
        <f t="shared" si="45"/>
        <v>4.8541321265297921E-2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95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232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160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6.8631170210430793E-5</v>
      </c>
      <c r="D87" s="209"/>
      <c r="E87" s="262">
        <f>E86*Exchange_Rate/Dashboard!G3</f>
        <v>6.8631170210430793E-5</v>
      </c>
      <c r="F87" s="209"/>
      <c r="H87" s="262">
        <f>H86*Exchange_Rate/Dashboard!G3</f>
        <v>6.8631170210430793E-5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221</v>
      </c>
      <c r="C89" s="261">
        <f>C88*Exchange_Rate/Dashboard!G3</f>
        <v>1.1479471836771286E-2</v>
      </c>
      <c r="D89" s="209"/>
      <c r="E89" s="261">
        <f>E88*Exchange_Rate/Dashboard!G3</f>
        <v>1.1479471836771286E-2</v>
      </c>
      <c r="F89" s="209"/>
      <c r="H89" s="261">
        <f>H88*Exchange_Rate/Dashboard!G3</f>
        <v>1.1479471836771286E-2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8.0097178736127095E-2</v>
      </c>
      <c r="H93" s="87" t="s">
        <v>209</v>
      </c>
      <c r="I93" s="144">
        <f>FV(H87,D93,0,-(H86/(C93-D94)))*Exchange_Rate</f>
        <v>8.0097178736127095E-2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14.1792761938278</v>
      </c>
      <c r="H94" s="87" t="s">
        <v>210</v>
      </c>
      <c r="I94" s="144">
        <f>FV(H89,D93,0,-(H88/(C93-D94)))*Exchange_Rate</f>
        <v>14.1792761938278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761325.76743002841</v>
      </c>
      <c r="D97" s="213"/>
      <c r="E97" s="123">
        <f>PV(C94,D93,0,-F93)</f>
        <v>3.9822453830631273E-2</v>
      </c>
      <c r="F97" s="213"/>
      <c r="H97" s="123">
        <f>PV(C94,D93,0,-I93)</f>
        <v>3.9822453830631273E-2</v>
      </c>
      <c r="I97" s="123">
        <f>PV(C93,D93,0,-I93)</f>
        <v>5.6577439958121749E-2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761325.76743002841</v>
      </c>
      <c r="D100" s="109">
        <f>MIN(F100*(1-C94),E100)</f>
        <v>3.3849085756036582E-2</v>
      </c>
      <c r="E100" s="109">
        <f>MAX(E97-H98+E99,0)</f>
        <v>3.9822453830631273E-2</v>
      </c>
      <c r="F100" s="109">
        <f>(E100+H100)/2</f>
        <v>3.9822453830631273E-2</v>
      </c>
      <c r="H100" s="109">
        <f>MAX(C100*Data!$C$4/Common_Shares,0)</f>
        <v>3.9822453830631273E-2</v>
      </c>
      <c r="I100" s="109">
        <f>MAX(I97-H98+H99,0)</f>
        <v>5.6577439958121749E-2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134774389.06345993</v>
      </c>
      <c r="D103" s="109">
        <f>MIN(F103*(1-C94),E103)</f>
        <v>5.9921653098990575</v>
      </c>
      <c r="E103" s="123">
        <f>PV(C94,D93,0,-F94)</f>
        <v>7.0496062469400673</v>
      </c>
      <c r="F103" s="109">
        <f>(E103+H103)/2</f>
        <v>7.0496062469400673</v>
      </c>
      <c r="H103" s="123">
        <f>PV(C94,D93,0,-I94)</f>
        <v>7.0496062469400673</v>
      </c>
      <c r="I103" s="109">
        <f>PV(C93,D93,0,-I94)</f>
        <v>10.015672963323491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67767857.41544497</v>
      </c>
      <c r="D106" s="109">
        <f>(D100+D103)/2</f>
        <v>3.0130071978275472</v>
      </c>
      <c r="E106" s="123">
        <f>(E100+E103)/2</f>
        <v>3.5447143503853491</v>
      </c>
      <c r="F106" s="109">
        <f>(F100+F103)/2</f>
        <v>3.5447143503853491</v>
      </c>
      <c r="H106" s="123">
        <f>(H100+H103)/2</f>
        <v>3.5447143503853491</v>
      </c>
      <c r="I106" s="123">
        <f>(I100+I103)/2</f>
        <v>5.0361252016408065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