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1457B04-28BB-44AE-A315-05D5754A5B1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M52" i="2"/>
  <c r="F96" i="4" l="1"/>
  <c r="E92" i="4"/>
  <c r="F97" i="4"/>
  <c r="F95" i="4"/>
  <c r="E95" i="4"/>
  <c r="D56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D100" i="3" s="1"/>
  <c r="H106" i="3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<sst xmlns="http://schemas.openxmlformats.org/spreadsheetml/2006/main" count="391" uniqueCount="270">
  <si>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</si>
  <si>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</si>
  <si>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</si>
  <si>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</si>
  <si>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</si>
  <si>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</si>
  <si>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</si>
  <si>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</si>
  <si>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</si>
  <si>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</si>
  <si>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</si>
  <si>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</si>
  <si>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</si>
  <si>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</si>
  <si>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</si>
  <si>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</si>
  <si>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</si>
  <si>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</si>
  <si>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</si>
  <si>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</si>
  <si>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</si>
  <si>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</si>
  <si>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</si>
  <si>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</si>
  <si>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</si>
  <si>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</si>
  <si>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</si>
  <si>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</si>
  <si>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</si>
  <si>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</si>
  <si>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</si>
  <si>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</si>
  <si>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</si>
  <si>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</si>
  <si>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</si>
  <si>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</si>
  <si>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</si>
  <si>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</si>
  <si>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</si>
  <si>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</si>
  <si>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</si>
  <si>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</si>
  <si>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</si>
  <si>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</si>
  <si>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</si>
  <si>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</si>
  <si>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</si>
  <si>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</si>
  <si>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</si>
  <si>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</si>
  <si>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</si>
  <si>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</si>
  <si>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</si>
  <si>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</si>
  <si>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</si>
  <si>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</si>
  <si>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</si>
  <si>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</si>
  <si>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</si>
  <si>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</si>
  <si>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</si>
  <si>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</si>
  <si>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</si>
  <si>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</si>
  <si>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</si>
  <si>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</si>
  <si>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</si>
  <si>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</si>
  <si>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</si>
  <si>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</si>
  <si>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</si>
  <si>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</si>
  <si>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</si>
  <si>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</si>
  <si>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</si>
  <si>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</si>
  <si>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</si>
  <si>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</si>
  <si>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</si>
  <si>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</si>
  <si>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</si>
  <si>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</si>
  <si>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</si>
  <si>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</si>
  <si>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</si>
  <si>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</si>
  <si>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</si>
  <si>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</si>
  <si>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</si>
  <si>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</si>
  <si>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</si>
  <si>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</si>
  <si>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</si>
  <si>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</si>
  <si>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</si>
  <si>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</si>
  <si>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</si>
  <si>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</si>
  <si>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</si>
  <si>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</si>
  <si>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</si>
  <si>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</si>
  <si>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</si>
  <si>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</si>
  <si>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</si>
  <si>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</si>
  <si>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</si>
  <si>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</si>
  <si>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</si>
  <si>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</si>
  <si>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</si>
  <si>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</si>
  <si>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</si>
  <si>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</si>
  <si>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</si>
  <si>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</si>
  <si>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</si>
  <si>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</si>
  <si>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</si>
  <si>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</si>
  <si>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</si>
  <si>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</si>
  <si>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</si>
  <si>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</si>
  <si>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</si>
  <si>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</si>
  <si>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</si>
  <si>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</si>
  <si>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</si>
  <si>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</si>
  <si>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</si>
  <si>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</si>
  <si>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</si>
  <si>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</si>
  <si>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</si>
  <si>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</si>
  <si>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</si>
  <si>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</si>
  <si>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</si>
  <si>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</si>
  <si>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</si>
  <si>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</si>
  <si>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</si>
  <si>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</si>
  <si>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</si>
  <si>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</si>
  <si>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</si>
  <si>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</si>
  <si>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</si>
  <si>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</si>
  <si>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</si>
  <si>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</si>
  <si>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</si>
  <si>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</si>
  <si>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</si>
  <si>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</si>
  <si>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</si>
  <si>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</si>
  <si>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</si>
  <si>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</si>
  <si>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</si>
  <si>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</si>
  <si>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</si>
  <si>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</si>
  <si>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</si>
  <si>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</si>
  <si>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</si>
  <si>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</si>
  <si>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</si>
  <si>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</si>
  <si>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</si>
  <si>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</si>
  <si>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</si>
  <si>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</si>
  <si>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</si>
  <si>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</si>
  <si>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</si>
  <si>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</si>
  <si>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</si>
  <si>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</si>
  <si>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</si>
  <si>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</si>
  <si>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</si>
  <si>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</si>
  <si>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</si>
  <si>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</si>
  <si>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</si>
  <si>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</si>
  <si>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</si>
  <si>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</si>
  <si>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</si>
  <si>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</si>
  <si>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</si>
  <si>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</si>
  <si>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</si>
  <si>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</si>
  <si>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</si>
  <si>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</si>
  <si>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</si>
  <si>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</si>
  <si>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</si>
  <si>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</si>
  <si>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</si>
  <si>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</si>
  <si>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</si>
  <si>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</si>
  <si>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</si>
  <si>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</si>
  <si>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</si>
  <si>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</si>
  <si>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</si>
  <si>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</si>
  <si>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</si>
  <si>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</si>
  <si>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</si>
  <si>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</si>
  <si>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</si>
  <si>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</si>
  <si>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</si>
  <si>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</si>
  <si>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</si>
  <si>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</si>
  <si>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</si>
  <si>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</si>
  <si>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</si>
  <si>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</si>
  <si>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</si>
  <si>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</si>
  <si>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</si>
  <si>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</si>
  <si>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</si>
  <si>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</si>
  <si>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</si>
  <si>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</si>
  <si>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</si>
  <si>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</si>
  <si>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</si>
  <si>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</si>
  <si>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</si>
  <si>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</si>
  <si>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</si>
  <si>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</si>
  <si>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</si>
  <si>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</si>
  <si>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</si>
  <si>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</si>
  <si>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</si>
  <si>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</si>
  <si>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</si>
  <si>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</si>
  <si>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</si>
  <si>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</si>
  <si>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</si>
  <si>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</si>
  <si>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</si>
  <si>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</si>
  <si>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</si>
  <si>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</si>
  <si>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</si>
  <si>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</si>
  <si>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</si>
  <si>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</si>
  <si>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0011.HK</t>
  </si>
  <si>
    <t>恒生銀行</t>
  </si>
  <si>
    <t xml:space="preserve">Superior Cycl. </t>
  </si>
  <si>
    <t>C0014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</si>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</sst>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4.1966617135767562E-2</c:v>
                </c:pt>
                <c:pt idx="1">
                  <c:v>0.2109727772407923</c:v>
                </c:pt>
                <c:pt idx="2">
                  <c:v>0</c:v>
                </c:pt>
                <c:pt idx="3">
                  <c:v>0</c:v>
                </c:pt>
                <c:pt idx="4">
                  <c:v>0.39159225009737869</c:v>
                </c:pt>
                <c:pt idx="5">
                  <c:v>0</c:v>
                </c:pt>
                <c:pt idx="6">
                  <c:v>0.35546835552606143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8" t="s">
        <v>262</v>
      </c>
    </row>
    <row r="5" spans="1:5" ht="13.9" x14ac:dyDescent="0.4">
      <c r="B5" s="141" t="s">
        <v>196</v>
      </c>
      <c r="C5" s="191" t="s">
        <v>263</v>
      </c>
    </row>
    <row r="6" spans="1:5" ht="13.9" x14ac:dyDescent="0.4">
      <c r="B6" s="141" t="s">
        <v>164</v>
      </c>
      <c r="C6" s="189">
        <v>45606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216</v>
      </c>
      <c r="C8" s="191" t="s">
        <v>264</v>
      </c>
      <c r="E8" s="267"/>
    </row>
    <row r="9" spans="1:5" ht="13.9" x14ac:dyDescent="0.4">
      <c r="B9" s="140" t="s">
        <v>217</v>
      </c>
      <c r="C9" s="192" t="s">
        <v>265</v>
      </c>
    </row>
    <row r="10" spans="1:5" ht="13.9" x14ac:dyDescent="0.4">
      <c r="B10" s="140" t="s">
        <v>218</v>
      </c>
      <c r="C10" s="193">
        <v>1882267536</v>
      </c>
    </row>
    <row r="11" spans="1:5" ht="13.9" x14ac:dyDescent="0.4">
      <c r="B11" s="140" t="s">
        <v>219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1000000</v>
      </c>
    </row>
    <row r="14" spans="1:5" ht="13.9" x14ac:dyDescent="0.4">
      <c r="B14" s="218" t="s">
        <v>220</v>
      </c>
      <c r="C14" s="219">
        <v>45473</v>
      </c>
    </row>
    <row r="15" spans="1:5" ht="13.9" x14ac:dyDescent="0.4">
      <c r="B15" s="218" t="s">
        <v>255</v>
      </c>
      <c r="C15" s="176" t="s">
        <v>190</v>
      </c>
    </row>
    <row r="16" spans="1:5" ht="13.9" x14ac:dyDescent="0.4">
      <c r="B16" s="222" t="s">
        <v>97</v>
      </c>
      <c r="C16" s="223">
        <v>0.23499999999999999</v>
      </c>
      <c r="D16" s="24"/>
    </row>
    <row r="17" spans="2:13" ht="13.9" x14ac:dyDescent="0.4">
      <c r="B17" s="240" t="s">
        <v>225</v>
      </c>
      <c r="C17" s="242" t="s">
        <v>266</v>
      </c>
      <c r="D17" s="24"/>
    </row>
    <row r="18" spans="2:13" ht="13.9" x14ac:dyDescent="0.4">
      <c r="B18" s="240" t="s">
        <v>239</v>
      </c>
      <c r="C18" s="242" t="s">
        <v>266</v>
      </c>
      <c r="D18" s="24"/>
    </row>
    <row r="19" spans="2:13" ht="13.9" x14ac:dyDescent="0.4">
      <c r="B19" s="240" t="s">
        <v>240</v>
      </c>
      <c r="C19" s="242" t="s">
        <v>266</v>
      </c>
      <c r="D19" s="24"/>
    </row>
    <row r="20" spans="2:13" ht="13.9" x14ac:dyDescent="0.4">
      <c r="B20" s="241" t="s">
        <v>229</v>
      </c>
      <c r="C20" s="242" t="s">
        <v>266</v>
      </c>
      <c r="D20" s="24"/>
    </row>
    <row r="21" spans="2:13" ht="13.9" x14ac:dyDescent="0.4">
      <c r="B21" s="224" t="s">
        <v>232</v>
      </c>
      <c r="C21" s="242" t="s">
        <v>266</v>
      </c>
      <c r="D21" s="24"/>
    </row>
    <row r="22" spans="2:13" ht="78.75" x14ac:dyDescent="0.4">
      <c r="B22" s="226" t="s">
        <v>231</v>
      </c>
      <c r="C22" s="243" t="s">
        <v>267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>
        <v>69317</v>
      </c>
      <c r="D25" s="149">
        <v>43948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106</v>
      </c>
      <c r="C26" s="150">
        <v>2909</v>
      </c>
      <c r="D26" s="150">
        <v>2280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104</v>
      </c>
      <c r="C27" s="150">
        <v>14624</v>
      </c>
      <c r="D27" s="150">
        <v>13795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27144</v>
      </c>
      <c r="D29" s="150">
        <v>9231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111</v>
      </c>
      <c r="C30" s="150">
        <v>-10</v>
      </c>
      <c r="D30" s="150">
        <v>-14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110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105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108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117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149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116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138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137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208</v>
      </c>
      <c r="C44" s="250">
        <f>3.2+1.2*3</f>
        <v>6.8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7.1204188481675396E-2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34</v>
      </c>
      <c r="D47" s="194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260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1" t="s">
        <v>71</v>
      </c>
    </row>
    <row r="57" spans="2:5" ht="13.9" x14ac:dyDescent="0.4">
      <c r="B57" s="3" t="s">
        <v>120</v>
      </c>
      <c r="C57" s="59"/>
      <c r="D57" s="60">
        <v>0.6</v>
      </c>
      <c r="E57" s="221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5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259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1" t="s">
        <v>71</v>
      </c>
    </row>
    <row r="66" spans="2:5" ht="13.9" x14ac:dyDescent="0.4">
      <c r="B66" s="3" t="s">
        <v>72</v>
      </c>
      <c r="C66" s="59"/>
      <c r="D66" s="60">
        <v>0.2</v>
      </c>
      <c r="E66" s="221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1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6" t="s">
        <v>76</v>
      </c>
      <c r="C72" s="247"/>
      <c r="D72" s="248">
        <v>0</v>
      </c>
      <c r="E72" s="249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268</v>
      </c>
      <c r="D87" s="269">
        <v>0.02</v>
      </c>
    </row>
    <row r="89" spans="2:8" ht="13.5" x14ac:dyDescent="0.35">
      <c r="B89" s="106" t="s">
        <v>128</v>
      </c>
      <c r="C89" s="271">
        <f>C24</f>
        <v>45291</v>
      </c>
      <c r="D89" s="271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72" t="s">
        <v>101</v>
      </c>
      <c r="D90" s="272"/>
      <c r="E90" s="235" t="s">
        <v>102</v>
      </c>
      <c r="F90" s="255" t="s">
        <v>102</v>
      </c>
    </row>
    <row r="91" spans="2:8" ht="13.9" x14ac:dyDescent="0.4">
      <c r="B91" s="3" t="s">
        <v>127</v>
      </c>
      <c r="C91" s="77">
        <f>C25</f>
        <v>69317</v>
      </c>
      <c r="D91" s="209"/>
      <c r="E91" s="251">
        <f>C91</f>
        <v>69317</v>
      </c>
      <c r="F91" s="251">
        <f>C91</f>
        <v>69317</v>
      </c>
    </row>
    <row r="92" spans="2:8" ht="13.9" x14ac:dyDescent="0.4">
      <c r="B92" s="104" t="s">
        <v>106</v>
      </c>
      <c r="C92" s="77">
        <f>C26</f>
        <v>2909</v>
      </c>
      <c r="D92" s="159">
        <f>C92/C91</f>
        <v>4.1966617135767562E-2</v>
      </c>
      <c r="E92" s="252">
        <f>E91*D92</f>
        <v>2909</v>
      </c>
      <c r="F92" s="252">
        <f>F91*D92</f>
        <v>2909</v>
      </c>
    </row>
    <row r="93" spans="2:8" ht="13.9" x14ac:dyDescent="0.4">
      <c r="B93" s="104" t="s">
        <v>247</v>
      </c>
      <c r="C93" s="77">
        <f>C27+C28</f>
        <v>14624</v>
      </c>
      <c r="D93" s="159">
        <f>C93/C91</f>
        <v>0.2109727772407923</v>
      </c>
      <c r="E93" s="252">
        <f>E91*D93</f>
        <v>14624</v>
      </c>
      <c r="F93" s="252">
        <f>F91*D93</f>
        <v>14624</v>
      </c>
    </row>
    <row r="94" spans="2:8" ht="13.9" x14ac:dyDescent="0.4">
      <c r="B94" s="104" t="s">
        <v>256</v>
      </c>
      <c r="C94" s="77">
        <f>C29</f>
        <v>27144</v>
      </c>
      <c r="D94" s="159">
        <f>C94/C91</f>
        <v>0.39159225009737869</v>
      </c>
      <c r="E94" s="253"/>
      <c r="F94" s="252">
        <f>F91*D94</f>
        <v>27144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173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208</v>
      </c>
      <c r="C98" s="237">
        <f>C44</f>
        <v>6.8</v>
      </c>
      <c r="D98" s="266"/>
      <c r="E98" s="254">
        <f>F98</f>
        <v>6.8</v>
      </c>
      <c r="F98" s="254">
        <f>C98</f>
        <v>6.8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0011.HK : 恒生銀行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7" t="str">
        <f>Inputs!C4</f>
        <v>0011.HK</v>
      </c>
      <c r="D3" s="278"/>
      <c r="E3" s="87"/>
      <c r="F3" s="3" t="s">
        <v>1</v>
      </c>
      <c r="G3" s="132">
        <v>95.5</v>
      </c>
      <c r="H3" s="134" t="s">
        <v>269</v>
      </c>
    </row>
    <row r="4" spans="1:10" ht="15.75" customHeight="1" x14ac:dyDescent="0.4">
      <c r="B4" s="35" t="s">
        <v>196</v>
      </c>
      <c r="C4" s="279" t="str">
        <f>Inputs!C5</f>
        <v>恒生銀行</v>
      </c>
      <c r="D4" s="280"/>
      <c r="E4" s="87"/>
      <c r="F4" s="3" t="s">
        <v>3</v>
      </c>
      <c r="G4" s="283">
        <f>Inputs!C10</f>
        <v>1882267536</v>
      </c>
      <c r="H4" s="283"/>
      <c r="I4" s="39"/>
    </row>
    <row r="5" spans="1:10" ht="15.75" customHeight="1" x14ac:dyDescent="0.4">
      <c r="B5" s="3" t="s">
        <v>164</v>
      </c>
      <c r="C5" s="281">
        <f>Inputs!C6</f>
        <v>45606</v>
      </c>
      <c r="D5" s="282"/>
      <c r="E5" s="34"/>
      <c r="F5" s="35" t="s">
        <v>100</v>
      </c>
      <c r="G5" s="275">
        <f>G3*G4/1000000</f>
        <v>179756.549688</v>
      </c>
      <c r="H5" s="275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6" t="str">
        <f>Inputs!C11</f>
        <v>HKD</v>
      </c>
      <c r="H6" s="276"/>
      <c r="I6" s="38"/>
    </row>
    <row r="7" spans="1:10" ht="15.75" customHeight="1" x14ac:dyDescent="0.4">
      <c r="B7" s="86" t="s">
        <v>193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2">
        <v>4.2000000000000003E-2</v>
      </c>
      <c r="F10" s="110" t="s">
        <v>183</v>
      </c>
    </row>
    <row r="11" spans="1:10" ht="15.75" customHeight="1" thickBot="1" x14ac:dyDescent="0.45">
      <c r="B11" s="122" t="s">
        <v>180</v>
      </c>
      <c r="C11" s="173">
        <v>5.2299999999999999E-2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253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2">
        <v>1.8100000000000002E-2</v>
      </c>
      <c r="F14" s="110" t="s">
        <v>182</v>
      </c>
    </row>
    <row r="15" spans="1:10" ht="15.75" customHeight="1" x14ac:dyDescent="0.4">
      <c r="B15" s="1" t="s">
        <v>187</v>
      </c>
      <c r="C15" s="172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3">
        <v>0.16</v>
      </c>
      <c r="D16" s="265" t="str">
        <f>Inputs!C15</f>
        <v>HK</v>
      </c>
      <c r="F16" s="110" t="s">
        <v>179</v>
      </c>
    </row>
    <row r="17" spans="1:8" ht="15.75" customHeight="1" thickTop="1" x14ac:dyDescent="0.4">
      <c r="B17" s="87" t="s">
        <v>254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1">
        <f>Fin_Analysis!I75</f>
        <v>4.1966617135767562E-2</v>
      </c>
      <c r="F20" s="87" t="s">
        <v>212</v>
      </c>
      <c r="G20" s="172">
        <v>0.15</v>
      </c>
    </row>
    <row r="21" spans="1:8" ht="15.75" customHeight="1" x14ac:dyDescent="0.4">
      <c r="B21" s="137" t="s">
        <v>245</v>
      </c>
      <c r="C21" s="171">
        <f>Fin_Analysis!I77</f>
        <v>0.2109727772407923</v>
      </c>
      <c r="F21" s="87"/>
      <c r="G21" s="29"/>
    </row>
    <row r="22" spans="1:8" ht="15.75" customHeight="1" x14ac:dyDescent="0.4">
      <c r="B22" s="137" t="s">
        <v>192</v>
      </c>
      <c r="C22" s="171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1">
        <f>Fin_Analysis!I80</f>
        <v>0</v>
      </c>
      <c r="F23" s="140" t="s">
        <v>189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1">
        <f>Fin_Analysis!I81</f>
        <v>0.39159225009737869</v>
      </c>
      <c r="F24" s="140" t="s">
        <v>258</v>
      </c>
      <c r="G24" s="268">
        <f>G3/(Fin_Analysis!H86*G7)</f>
        <v>9.5363588451744334</v>
      </c>
    </row>
    <row r="25" spans="1:8" ht="15.75" customHeight="1" x14ac:dyDescent="0.4">
      <c r="B25" s="137" t="s">
        <v>244</v>
      </c>
      <c r="C25" s="171">
        <f>Fin_Analysis!I82</f>
        <v>0</v>
      </c>
      <c r="F25" s="140" t="s">
        <v>175</v>
      </c>
      <c r="G25" s="171">
        <f>Fin_Analysis!I88</f>
        <v>0.67902869264069265</v>
      </c>
    </row>
    <row r="26" spans="1:8" ht="15.75" customHeight="1" x14ac:dyDescent="0.4">
      <c r="B26" s="138" t="s">
        <v>174</v>
      </c>
      <c r="C26" s="171">
        <f>Fin_Analysis!I83</f>
        <v>0.35546835552606143</v>
      </c>
      <c r="F26" s="141" t="s">
        <v>194</v>
      </c>
      <c r="G26" s="178">
        <f>Fin_Analysis!H88*Exchange_Rate/G3</f>
        <v>7.1204188481675396E-2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3" t="s">
        <v>257</v>
      </c>
      <c r="H28" s="273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66.85720175999181</v>
      </c>
      <c r="D29" s="129">
        <f>G29*(1+G20)</f>
        <v>123.46426035628963</v>
      </c>
      <c r="E29" s="87"/>
      <c r="F29" s="131">
        <f>IF(Fin_Analysis!C108="Profit",Fin_Analysis!F100,IF(Fin_Analysis!C108="Dividend",Fin_Analysis!F103,Fin_Analysis!F106))</f>
        <v>78.655531482343306</v>
      </c>
      <c r="G29" s="274">
        <f>IF(Fin_Analysis!C108="Profit",Fin_Analysis!I100,IF(Fin_Analysis!C108="Dividend",Fin_Analysis!I103,Fin_Analysis!I106))</f>
        <v>107.3602263967736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6" t="s">
        <v>224</v>
      </c>
      <c r="C32" s="224"/>
    </row>
    <row r="33" spans="1:3" ht="15.75" customHeight="1" x14ac:dyDescent="0.4">
      <c r="A33"/>
      <c r="B33" s="20" t="s">
        <v>225</v>
      </c>
      <c r="C33" s="245" t="str">
        <f>Inputs!C17</f>
        <v>agree</v>
      </c>
    </row>
    <row r="34" spans="1:3" ht="15.75" customHeight="1" x14ac:dyDescent="0.4">
      <c r="A34"/>
      <c r="B34" s="19" t="s">
        <v>226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227</v>
      </c>
      <c r="C35" s="224"/>
    </row>
    <row r="36" spans="1:3" ht="15.75" customHeight="1" x14ac:dyDescent="0.4">
      <c r="A36"/>
      <c r="B36" s="20" t="s">
        <v>239</v>
      </c>
      <c r="C36" s="245" t="str">
        <f>Inputs!C18</f>
        <v>agree</v>
      </c>
    </row>
    <row r="37" spans="1:3" ht="15.75" customHeight="1" x14ac:dyDescent="0.4">
      <c r="A37"/>
      <c r="B37" s="20" t="s">
        <v>240</v>
      </c>
      <c r="C37" s="245" t="str">
        <f>Inputs!C19</f>
        <v>agree</v>
      </c>
    </row>
    <row r="38" spans="1:3" ht="15.75" customHeight="1" x14ac:dyDescent="0.4">
      <c r="A38"/>
      <c r="B38" s="196" t="s">
        <v>228</v>
      </c>
      <c r="C38" s="224"/>
    </row>
    <row r="39" spans="1:3" ht="15.75" customHeight="1" x14ac:dyDescent="0.4">
      <c r="A39"/>
      <c r="B39" s="19" t="s">
        <v>229</v>
      </c>
      <c r="C39" s="245" t="str">
        <f>Inputs!C20</f>
        <v>agree</v>
      </c>
    </row>
    <row r="40" spans="1:3" ht="15.75" customHeight="1" x14ac:dyDescent="0.4">
      <c r="A40"/>
      <c r="B40" s="1" t="s">
        <v>232</v>
      </c>
      <c r="C40" s="245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6" t="s">
        <v>231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200</v>
      </c>
      <c r="F2" s="119" t="s">
        <v>203</v>
      </c>
      <c r="G2" s="148" t="s">
        <v>204</v>
      </c>
      <c r="H2" s="147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201</v>
      </c>
      <c r="F3" s="85" t="str">
        <f>H14</f>
        <v/>
      </c>
      <c r="G3" s="85">
        <f>C14</f>
        <v>51784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6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>
        <f>IF(Inputs!C25=""," ",Inputs!C25)</f>
        <v>69317</v>
      </c>
      <c r="D6" s="200">
        <f>IF(Inputs!D25="","",Inputs!D25)</f>
        <v>43948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0.57725038682078811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199">
        <f>IF(Inputs!C26="","",Inputs!C26)</f>
        <v>2909</v>
      </c>
      <c r="D8" s="199">
        <f>IF(Inputs!D26="","",Inputs!D26)</f>
        <v>2280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1">
        <f t="shared" ref="C9:M9" si="2">IF(C6="","",(C6-C8))</f>
        <v>66408</v>
      </c>
      <c r="D9" s="151">
        <f t="shared" si="2"/>
        <v>41668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199">
        <f>IF(Inputs!C27="","",Inputs!C27)</f>
        <v>14624</v>
      </c>
      <c r="D10" s="199">
        <f>IF(Inputs!D27="","",Inputs!D27)</f>
        <v>13795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242</v>
      </c>
      <c r="C13" s="229">
        <f t="shared" ref="C13:M13" si="3">IF(C14="","",C14/C6)</f>
        <v>0.74706060562344012</v>
      </c>
      <c r="D13" s="229">
        <f t="shared" si="3"/>
        <v>0.63422681350687171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234</v>
      </c>
      <c r="C14" s="230">
        <f>IF(C6="","",C9-C10-MAX(C11,0)-MAX(C12,0))</f>
        <v>51784</v>
      </c>
      <c r="D14" s="230">
        <f t="shared" ref="D14:M14" si="4">IF(D6="","",D9-D10-MAX(D11,0)-MAX(D12,0))</f>
        <v>27873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243</v>
      </c>
      <c r="C15" s="232">
        <f>IF(D14="","",IF(ABS(C14+D14)=ABS(C14)+ABS(D14),IF(C14&lt;0,-1,1)*(C14-D14)/D14,"Turn"))</f>
        <v>0.85785527212714818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27144</v>
      </c>
      <c r="D17" s="199">
        <f>IF(Inputs!D29="","",Inputs!D29)</f>
        <v>9231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1">
        <f>IF(C6="","",C14-MAX(C16,0)-MAX(C17,0)-ABS(MAX(C21,0)-MAX(C19,0)))</f>
        <v>24640</v>
      </c>
      <c r="D22" s="161">
        <f t="shared" ref="D22:M22" si="8">IF(D6="","",D14-MAX(D16,0)-MAX(D17,0)-ABS(MAX(D21,0)-MAX(D19,0)))</f>
        <v>18642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3">
        <f t="shared" ref="C23:M23" si="9">IF(C6="","",C24/C6)</f>
        <v>0.27193329197743699</v>
      </c>
      <c r="D23" s="153">
        <f t="shared" si="9"/>
        <v>0.32450009101665606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4">
        <f>IF(C6="","",C22*(1-Fin_Analysis!$I$84))</f>
        <v>18849.599999999999</v>
      </c>
      <c r="D24" s="77">
        <f>IF(D6="","",D22*(1-Fin_Analysis!$I$84))</f>
        <v>14261.130000000001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129</v>
      </c>
      <c r="C25" s="233">
        <f>IF(D24="","",IF(ABS(C24+D24)=ABS(C24)+ABS(D24),IF(C24&lt;0,-1,1)*(C24-D24)/D24,"Turn"))</f>
        <v>0.3217465937131207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6">
        <f t="shared" ref="C42:M42" si="34">IF(C6="","",C8/C6)</f>
        <v>4.1966617135767562E-2</v>
      </c>
      <c r="D42" s="156">
        <f t="shared" si="34"/>
        <v>5.1879493947392372E-2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3">
        <f t="shared" ref="C43:M43" si="35">IF(C6="","",(C10+MAX(C11,0))/C6)</f>
        <v>0.2109727772407923</v>
      </c>
      <c r="D43" s="153">
        <f t="shared" si="35"/>
        <v>0.31389369254573585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3">
        <f t="shared" ref="C45:M45" si="37">IF(C6="","",MAX(C17,0)/C6)</f>
        <v>0.39159225009737869</v>
      </c>
      <c r="D45" s="153">
        <f t="shared" si="37"/>
        <v>0.21004368799490306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3">
        <f t="shared" ref="C48:M48" si="40">IF(C6="","",C22/C6)</f>
        <v>0.35546835552606143</v>
      </c>
      <c r="D48" s="153">
        <f t="shared" si="40"/>
        <v>0.42418312551196868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261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125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20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121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123</v>
      </c>
      <c r="C56" s="153">
        <f t="shared" ref="C56:M56" si="46">IF(C22="","",IF(MAX(C17,0)&lt;=0,"-",C17/C22))</f>
        <v>1.1016233766233767</v>
      </c>
      <c r="D56" s="153">
        <f t="shared" si="46"/>
        <v>0.49517219182491151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21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4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43</v>
      </c>
      <c r="I14" s="205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5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7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3">
        <f>Inputs!C84</f>
        <v>0</v>
      </c>
      <c r="E57" s="282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1">
        <f>Data!C5</f>
        <v>45291</v>
      </c>
      <c r="D72" s="271"/>
      <c r="E72" s="285" t="s">
        <v>207</v>
      </c>
      <c r="F72" s="285"/>
      <c r="H72" s="285" t="s">
        <v>206</v>
      </c>
      <c r="I72" s="285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72" t="s">
        <v>101</v>
      </c>
      <c r="D73" s="272"/>
      <c r="E73" s="286" t="s">
        <v>102</v>
      </c>
      <c r="F73" s="272"/>
      <c r="H73" s="286" t="s">
        <v>102</v>
      </c>
      <c r="I73" s="272"/>
      <c r="K73" s="24"/>
    </row>
    <row r="74" spans="1:11" ht="15" customHeight="1" x14ac:dyDescent="0.4">
      <c r="B74" s="3" t="s">
        <v>127</v>
      </c>
      <c r="C74" s="77">
        <f>Data!C6</f>
        <v>69317</v>
      </c>
      <c r="D74" s="209"/>
      <c r="E74" s="238">
        <f>Inputs!E91</f>
        <v>69317</v>
      </c>
      <c r="F74" s="209"/>
      <c r="H74" s="238">
        <f>Inputs!F91</f>
        <v>69317</v>
      </c>
      <c r="I74" s="209"/>
      <c r="K74" s="24"/>
    </row>
    <row r="75" spans="1:11" ht="15" customHeight="1" x14ac:dyDescent="0.4">
      <c r="B75" s="104" t="s">
        <v>106</v>
      </c>
      <c r="C75" s="77">
        <f>Data!C8</f>
        <v>2909</v>
      </c>
      <c r="D75" s="159">
        <f>C75/$C$74</f>
        <v>4.1966617135767562E-2</v>
      </c>
      <c r="E75" s="238">
        <f>Inputs!E92</f>
        <v>2909</v>
      </c>
      <c r="F75" s="160">
        <f>E75/E74</f>
        <v>4.1966617135767562E-2</v>
      </c>
      <c r="H75" s="238">
        <f>Inputs!F92</f>
        <v>2909</v>
      </c>
      <c r="I75" s="160">
        <f>H75/$H$74</f>
        <v>4.1966617135767562E-2</v>
      </c>
      <c r="K75" s="24"/>
    </row>
    <row r="76" spans="1:11" ht="15" customHeight="1" x14ac:dyDescent="0.4">
      <c r="B76" s="35" t="s">
        <v>96</v>
      </c>
      <c r="C76" s="161">
        <f>C74-C75</f>
        <v>66408</v>
      </c>
      <c r="D76" s="210"/>
      <c r="E76" s="162">
        <f>E74-E75</f>
        <v>66408</v>
      </c>
      <c r="F76" s="210"/>
      <c r="H76" s="162">
        <f>H74-H75</f>
        <v>66408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14624</v>
      </c>
      <c r="D77" s="159">
        <f>C77/$C$74</f>
        <v>0.2109727772407923</v>
      </c>
      <c r="E77" s="238">
        <f>Inputs!E93</f>
        <v>14624</v>
      </c>
      <c r="F77" s="160">
        <f>E77/E74</f>
        <v>0.2109727772407923</v>
      </c>
      <c r="H77" s="238">
        <f>Inputs!F93</f>
        <v>14624</v>
      </c>
      <c r="I77" s="160">
        <f>H77/$H$74</f>
        <v>0.2109727772407923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233</v>
      </c>
      <c r="C79" s="257">
        <f>C76-C77-C78</f>
        <v>51784</v>
      </c>
      <c r="D79" s="258">
        <f>C79/C74</f>
        <v>0.74706060562344012</v>
      </c>
      <c r="E79" s="259">
        <f>E76-E77-E78</f>
        <v>51784</v>
      </c>
      <c r="F79" s="258">
        <f>E79/E74</f>
        <v>0.74706060562344012</v>
      </c>
      <c r="G79" s="260"/>
      <c r="H79" s="259">
        <f>H76-H77-H78</f>
        <v>51784</v>
      </c>
      <c r="I79" s="258">
        <f>H79/H74</f>
        <v>0.74706060562344012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132</v>
      </c>
    </row>
    <row r="81" spans="1:11" ht="15" customHeight="1" x14ac:dyDescent="0.4">
      <c r="B81" s="104" t="s">
        <v>256</v>
      </c>
      <c r="C81" s="77">
        <f>MAX(Data!C17,0)</f>
        <v>27144</v>
      </c>
      <c r="D81" s="159">
        <f>C81/$C$74</f>
        <v>0.39159225009737869</v>
      </c>
      <c r="E81" s="180">
        <f>E74*F81</f>
        <v>27144</v>
      </c>
      <c r="F81" s="160">
        <f>I81</f>
        <v>0.39159225009737869</v>
      </c>
      <c r="H81" s="238">
        <f>Inputs!F94</f>
        <v>27144</v>
      </c>
      <c r="I81" s="160">
        <f>H81/$H$74</f>
        <v>0.39159225009737869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126</v>
      </c>
      <c r="C83" s="163">
        <f>C79-C81-C82-C80</f>
        <v>24640</v>
      </c>
      <c r="D83" s="164">
        <f>C83/$C$74</f>
        <v>0.35546835552606143</v>
      </c>
      <c r="E83" s="165">
        <f>E79-E81-E82-E80</f>
        <v>24640</v>
      </c>
      <c r="F83" s="164">
        <f>E83/E74</f>
        <v>0.35546835552606143</v>
      </c>
      <c r="H83" s="165">
        <f>H79-H81-H82-H80</f>
        <v>24640</v>
      </c>
      <c r="I83" s="164">
        <f>H83/$H$74</f>
        <v>0.35546835552606143</v>
      </c>
      <c r="K83" s="24"/>
    </row>
    <row r="84" spans="1:11" ht="15" customHeight="1" thickTop="1" x14ac:dyDescent="0.4">
      <c r="B84" s="28" t="s">
        <v>97</v>
      </c>
      <c r="C84" s="211"/>
      <c r="D84" s="159">
        <f>I84</f>
        <v>0.23499999999999999</v>
      </c>
      <c r="E84" s="212"/>
      <c r="F84" s="179">
        <f t="shared" ref="F84" si="3">I84</f>
        <v>0.23499999999999999</v>
      </c>
      <c r="H84" s="212"/>
      <c r="I84" s="202">
        <f>Inputs!C16</f>
        <v>0.23499999999999999</v>
      </c>
      <c r="K84" s="24"/>
    </row>
    <row r="85" spans="1:11" ht="15" customHeight="1" x14ac:dyDescent="0.4">
      <c r="B85" s="263" t="s">
        <v>165</v>
      </c>
      <c r="C85" s="257">
        <f>C83*(1-I84)</f>
        <v>18849.599999999999</v>
      </c>
      <c r="D85" s="258">
        <f>C85/$C$74</f>
        <v>0.27193329197743699</v>
      </c>
      <c r="E85" s="264">
        <f>E83*(1-F84)</f>
        <v>18849.599999999999</v>
      </c>
      <c r="F85" s="258">
        <f>E85/E74</f>
        <v>0.27193329197743699</v>
      </c>
      <c r="G85" s="260"/>
      <c r="H85" s="264">
        <f>H83*(1-I84)</f>
        <v>18849.599999999999</v>
      </c>
      <c r="I85" s="258">
        <f>H85/$H$74</f>
        <v>0.27193329197743699</v>
      </c>
      <c r="K85" s="24"/>
    </row>
    <row r="86" spans="1:11" ht="15" customHeight="1" x14ac:dyDescent="0.4">
      <c r="B86" s="87" t="s">
        <v>161</v>
      </c>
      <c r="C86" s="167">
        <f>C85*Data!C4/Common_Shares</f>
        <v>10.014304364010451</v>
      </c>
      <c r="D86" s="209"/>
      <c r="E86" s="168">
        <f>E85*Data!C4/Common_Shares</f>
        <v>10.014304364010451</v>
      </c>
      <c r="F86" s="209"/>
      <c r="H86" s="168">
        <f>H85*Data!C4/Common_Shares</f>
        <v>10.014304364010451</v>
      </c>
      <c r="I86" s="209"/>
      <c r="K86" s="24"/>
    </row>
    <row r="87" spans="1:11" ht="15" customHeight="1" x14ac:dyDescent="0.4">
      <c r="B87" s="87" t="s">
        <v>209</v>
      </c>
      <c r="C87" s="261">
        <f>C86*Exchange_Rate/Dashboard!G3</f>
        <v>0.10486182580115656</v>
      </c>
      <c r="D87" s="209"/>
      <c r="E87" s="262">
        <f>E86*Exchange_Rate/Dashboard!G3</f>
        <v>0.10486182580115656</v>
      </c>
      <c r="F87" s="209"/>
      <c r="H87" s="262">
        <f>H86*Exchange_Rate/Dashboard!G3</f>
        <v>0.10486182580115656</v>
      </c>
      <c r="I87" s="209"/>
      <c r="K87" s="24"/>
    </row>
    <row r="88" spans="1:11" ht="15" customHeight="1" x14ac:dyDescent="0.4">
      <c r="B88" s="86" t="s">
        <v>208</v>
      </c>
      <c r="C88" s="169">
        <f>Inputs!C44</f>
        <v>6.8</v>
      </c>
      <c r="D88" s="166">
        <f>C88/C86</f>
        <v>0.67902869264069265</v>
      </c>
      <c r="E88" s="170">
        <f>Inputs!E98</f>
        <v>6.8</v>
      </c>
      <c r="F88" s="166">
        <f>E88/E86</f>
        <v>0.67902869264069265</v>
      </c>
      <c r="H88" s="170">
        <f>Inputs!F98</f>
        <v>6.8</v>
      </c>
      <c r="I88" s="166">
        <f>H88/H86</f>
        <v>0.67902869264069265</v>
      </c>
      <c r="K88" s="24"/>
    </row>
    <row r="89" spans="1:11" ht="15" customHeight="1" x14ac:dyDescent="0.4">
      <c r="B89" s="87" t="s">
        <v>222</v>
      </c>
      <c r="C89" s="261">
        <f>C88*Exchange_Rate/Dashboard!G3</f>
        <v>7.1204188481675396E-2</v>
      </c>
      <c r="D89" s="209"/>
      <c r="E89" s="261">
        <f>E88*Exchange_Rate/Dashboard!G3</f>
        <v>7.1204188481675396E-2</v>
      </c>
      <c r="F89" s="209"/>
      <c r="H89" s="261">
        <f>H88*Exchange_Rate/Dashboard!G3</f>
        <v>7.1204188481675396E-2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8" t="str">
        <f>Inputs!C15</f>
        <v>HK</v>
      </c>
      <c r="D92" s="10" t="s">
        <v>157</v>
      </c>
      <c r="E92" s="285" t="s">
        <v>207</v>
      </c>
      <c r="F92" s="285"/>
      <c r="G92" s="87"/>
      <c r="H92" s="285" t="s">
        <v>206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210</v>
      </c>
      <c r="F93" s="144">
        <f>FV(E87,D93,0,-(E86/(C93-D94)))*Exchange_Rate</f>
        <v>271.96240780785098</v>
      </c>
      <c r="H93" s="87" t="s">
        <v>210</v>
      </c>
      <c r="I93" s="144">
        <f>FV(H87,D93,0,-(H86/(C93-D94)))*Exchange_Rate</f>
        <v>271.96240780785098</v>
      </c>
      <c r="K93" s="24"/>
    </row>
    <row r="94" spans="1:11" ht="15" customHeight="1" x14ac:dyDescent="0.4">
      <c r="B94" s="1" t="s">
        <v>212</v>
      </c>
      <c r="C94" s="182">
        <f>Dashboard!G20</f>
        <v>0.15</v>
      </c>
      <c r="D94" s="270">
        <f>Inputs!D87</f>
        <v>0.02</v>
      </c>
      <c r="E94" s="87" t="s">
        <v>211</v>
      </c>
      <c r="F94" s="144">
        <f>FV(E89,D93,0,-(E88/(C93-D94)))*Exchange_Rate</f>
        <v>158.20436858364369</v>
      </c>
      <c r="H94" s="87" t="s">
        <v>211</v>
      </c>
      <c r="I94" s="144">
        <f>FV(H89,D93,0,-(H88/(C93-D94)))*Exchange_Rate</f>
        <v>158.20436858364369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3" t="str">
        <f>E72</f>
        <v>Pessimistic Case</v>
      </c>
      <c r="F96" s="227" t="s">
        <v>238</v>
      </c>
      <c r="H96" s="183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254507.75944245904</v>
      </c>
      <c r="D97" s="213"/>
      <c r="E97" s="123">
        <f>PV(C94,D93,0,-F93)</f>
        <v>135.21338203776949</v>
      </c>
      <c r="F97" s="213"/>
      <c r="H97" s="123">
        <f>PV(C94,D93,0,-I93)</f>
        <v>135.21338203776949</v>
      </c>
      <c r="I97" s="123">
        <f>PV(C93,D93,0,-I93)</f>
        <v>184.55840338078531</v>
      </c>
      <c r="K97" s="24"/>
    </row>
    <row r="98" spans="2:11" ht="15" customHeight="1" x14ac:dyDescent="0.4">
      <c r="B98" s="28" t="s">
        <v>145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115</v>
      </c>
      <c r="C100" s="91">
        <f>C97+C98+$C$99</f>
        <v>254507.75944245904</v>
      </c>
      <c r="D100" s="109">
        <f>MIN(F100*(1-C94),E100)</f>
        <v>114.93137473210406</v>
      </c>
      <c r="E100" s="109">
        <f>MAX(E97+H98+E99,0)</f>
        <v>135.21338203776949</v>
      </c>
      <c r="F100" s="109">
        <f>(E100+H100)/2</f>
        <v>135.21338203776949</v>
      </c>
      <c r="H100" s="109">
        <f>MAX(C100*Data!$C$4/Common_Shares,0)</f>
        <v>135.21338203776949</v>
      </c>
      <c r="I100" s="109">
        <f>MAX(I97+H98+H99,0)</f>
        <v>184.55840338078531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3" t="str">
        <f>E96</f>
        <v>Pessimistic Case</v>
      </c>
      <c r="F102" s="227" t="s">
        <v>238</v>
      </c>
      <c r="H102" s="183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148050.75343604077</v>
      </c>
      <c r="D103" s="109">
        <f>MIN(F103*(1-C94),E103)</f>
        <v>66.85720175999181</v>
      </c>
      <c r="E103" s="123">
        <f>PV(C94,D93,0,-F94)</f>
        <v>78.655531482343306</v>
      </c>
      <c r="F103" s="109">
        <f>(E103+H103)/2</f>
        <v>78.655531482343306</v>
      </c>
      <c r="H103" s="123">
        <f>PV(C94,D93,0,-I94)</f>
        <v>78.655531482343306</v>
      </c>
      <c r="I103" s="109">
        <f>PV(C93,D93,0,-I94)</f>
        <v>107.3602263967736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4" t="str">
        <f>E96</f>
        <v>Pessimistic Case</v>
      </c>
      <c r="F105" s="227" t="s">
        <v>238</v>
      </c>
      <c r="H105" s="184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201279.2564392499</v>
      </c>
      <c r="D106" s="109">
        <f>(D100+D103)/2</f>
        <v>90.894288246047935</v>
      </c>
      <c r="E106" s="123">
        <f>(E100+E103)/2</f>
        <v>106.93445676005641</v>
      </c>
      <c r="F106" s="109">
        <f>(F100+F103)/2</f>
        <v>106.93445676005641</v>
      </c>
      <c r="H106" s="123">
        <f>(H100+H103)/2</f>
        <v>106.93445676005641</v>
      </c>
      <c r="I106" s="123">
        <f>(I100+I103)/2</f>
        <v>145.95931488877946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2024-12-13T06:16:15Z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