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0D0B709-38E6-4F35-B9C1-BF1D9699BF1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M52" i="2"/>
  <c r="E93" i="4" l="1"/>
  <c r="E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<sst xmlns="http://schemas.openxmlformats.org/spreadsheetml/2006/main" count="391" uniqueCount="272">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</sst>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1.8876764354796127E-2</c:v>
                </c:pt>
                <c:pt idx="6">
                  <c:v>5.275513804114592E-2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934412034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45016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45565</v>
      </c>
    </row>
    <row r="15" spans="1:5" ht="13.9" x14ac:dyDescent="0.4">
      <c r="B15" s="218" t="s">
        <v>255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3.9" x14ac:dyDescent="0.4">
      <c r="B25" s="94" t="s">
        <v>11</v>
      </c>
      <c r="C25" s="149">
        <v>3814213</v>
      </c>
      <c r="D25" s="149">
        <v>3646119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2963493</v>
      </c>
      <c r="D26" s="150">
        <v>2930208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541794</v>
      </c>
      <c r="D27" s="150">
        <v>556427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31560</v>
      </c>
      <c r="D29" s="150">
        <v>21677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3110</v>
      </c>
      <c r="D30" s="150">
        <v>3460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-70259</v>
      </c>
      <c r="D31" s="150">
        <v>-27525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274900</v>
      </c>
      <c r="D32" s="150">
        <v>274200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184900</v>
      </c>
      <c r="D33" s="150">
        <v>226600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5.5675249291863634E-2</v>
      </c>
      <c r="D45" s="152">
        <f>IF(D44="","",D44*Exchange_Rate/Dashboard!$G$3)</f>
        <v>4.6562165008796445E-2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45016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3.9" x14ac:dyDescent="0.4">
      <c r="B92" s="104" t="s">
        <v>105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3.9" x14ac:dyDescent="0.4">
      <c r="B93" s="104" t="s">
        <v>247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3.9" x14ac:dyDescent="0.4">
      <c r="B94" s="104" t="s">
        <v>256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3.9" x14ac:dyDescent="0.4">
      <c r="B95" s="28" t="s">
        <v>246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F91*D95*0.8</f>
        <v>72000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3.9" x14ac:dyDescent="0.4">
      <c r="B98" s="86" t="s">
        <v>207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0179.HK</v>
      </c>
      <c r="D3" s="278"/>
      <c r="E3" s="87"/>
      <c r="F3" s="3" t="s">
        <v>1</v>
      </c>
      <c r="G3" s="132">
        <v>10.92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德昌電機</v>
      </c>
      <c r="D4" s="280"/>
      <c r="E4" s="87"/>
      <c r="F4" s="3" t="s">
        <v>2</v>
      </c>
      <c r="G4" s="283">
        <f>Inputs!C10</f>
        <v>934412034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10203.77941128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45016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7.7746000289916992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0.77696054205677556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0.14204607870614464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1.0871617989521474E-3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8.274315042185636E-3</v>
      </c>
      <c r="F24" s="140" t="s">
        <v>258</v>
      </c>
      <c r="G24" s="268">
        <f>G3/(Fin_Analysis!H86*G7)</f>
        <v>8.6966508898066426</v>
      </c>
    </row>
    <row r="25" spans="1:8" ht="15.75" customHeight="1" x14ac:dyDescent="0.4">
      <c r="B25" s="137" t="s">
        <v>243</v>
      </c>
      <c r="C25" s="171">
        <f>Fin_Analysis!I82</f>
        <v>1.8876764354796127E-2</v>
      </c>
      <c r="F25" s="140" t="s">
        <v>174</v>
      </c>
      <c r="G25" s="171">
        <f>Fin_Analysis!I88</f>
        <v>0.48418820629429243</v>
      </c>
    </row>
    <row r="26" spans="1:8" ht="15.75" customHeight="1" x14ac:dyDescent="0.4">
      <c r="B26" s="138" t="s">
        <v>173</v>
      </c>
      <c r="C26" s="171">
        <f>Fin_Analysis!I83</f>
        <v>5.275513804114592E-2</v>
      </c>
      <c r="F26" s="141" t="s">
        <v>193</v>
      </c>
      <c r="G26" s="178">
        <f>Fin_Analysis!H88*Exchange_Rate/G3</f>
        <v>5.5675249291863634E-2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9.8271992231489644</v>
      </c>
      <c r="D29" s="129">
        <f>G29*(1+G20)</f>
        <v>19.057796968836691</v>
      </c>
      <c r="E29" s="87"/>
      <c r="F29" s="131">
        <f>IF(Fin_Analysis!C108="Profit",Fin_Analysis!F100,IF(Fin_Analysis!C108="Dividend",Fin_Analysis!F103,Fin_Analysis!F106))</f>
        <v>11.561410850763487</v>
      </c>
      <c r="G29" s="274">
        <f>IF(Fin_Analysis!C108="Profit",Fin_Analysis!I100,IF(Fin_Analysis!C108="Dividend",Fin_Analysis!I103,Fin_Analysis!I106))</f>
        <v>16.571997364205821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45016</v>
      </c>
      <c r="E3" s="146" t="s">
        <v>200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4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2963493</v>
      </c>
      <c r="D8" s="199">
        <f>IF(Inputs!D26="","",Inputs!D26)</f>
        <v>2930208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850720</v>
      </c>
      <c r="D9" s="151">
        <f t="shared" si="2"/>
        <v>715911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541794</v>
      </c>
      <c r="D10" s="199">
        <f>IF(Inputs!D27="","",Inputs!D27)</f>
        <v>556427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0.96796036262515817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-70259</v>
      </c>
      <c r="D16" s="199">
        <f>IF(Inputs!D31="","",Inputs!D31)</f>
        <v>-27525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31560</v>
      </c>
      <c r="D17" s="199">
        <f>IF(Inputs!D29="","",Inputs!D29)</f>
        <v>21677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274900</v>
      </c>
      <c r="D19" s="199">
        <f>IF(Inputs!D32="","",Inputs!D32)</f>
        <v>274200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184900</v>
      </c>
      <c r="D21" s="199">
        <f>IF(Inputs!D33="","",Inputs!D33)</f>
        <v>226600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0.77696054205677556</v>
      </c>
      <c r="D42" s="156">
        <f t="shared" si="34"/>
        <v>0.80365122476803419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0.14204607870614464</v>
      </c>
      <c r="D43" s="153">
        <f t="shared" si="35"/>
        <v>0.15260801965048315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8.274315042185636E-3</v>
      </c>
      <c r="D45" s="153">
        <f t="shared" si="37"/>
        <v>5.9452255946665479E-3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1.0871617989521474E-3</v>
      </c>
      <c r="D46" s="153">
        <f t="shared" ref="D46:M46" si="38">IF(D6="","",MAX(D12,0)/D6)</f>
        <v>1.2652722890649846E-3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2.3595955443495159E-2</v>
      </c>
      <c r="D47" s="153">
        <f t="shared" ref="D47:M47" si="39">IF(D6="","",ABS(MAX(D21,0)-MAX(D19,0))/D6)</f>
        <v>1.3054977086595363E-2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4.8035946952446888E-2</v>
      </c>
      <c r="D48" s="153">
        <f t="shared" si="40"/>
        <v>2.347528061115577E-2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>
        <f>IF(D6="","",C16/(C6-D6))</f>
        <v>-0.41797446666745985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0.17225256432181468</v>
      </c>
      <c r="D56" s="153">
        <f t="shared" si="46"/>
        <v>0.25325471900179536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45016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4">
      <c r="B76" s="35" t="s">
        <v>95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4">
      <c r="B78" s="73" t="s">
        <v>172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4">
      <c r="B79" s="256" t="s">
        <v>232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72000</v>
      </c>
      <c r="I82" s="160">
        <f>H82/$H$74</f>
        <v>1.8876764354796127E-2</v>
      </c>
      <c r="K82" s="24"/>
    </row>
    <row r="83" spans="1:11" ht="15" customHeight="1" thickBot="1" x14ac:dyDescent="0.45">
      <c r="B83" s="105" t="s">
        <v>125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201219.33333333331</v>
      </c>
      <c r="I83" s="164">
        <f>H83/$H$74</f>
        <v>5.275513804114592E-2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150914.5</v>
      </c>
      <c r="I85" s="258">
        <f>H85/$H$74</f>
        <v>3.9566353530859445E-2</v>
      </c>
      <c r="K85" s="24"/>
    </row>
    <row r="86" spans="1:11" ht="15" customHeight="1" x14ac:dyDescent="0.4">
      <c r="B86" s="87" t="s">
        <v>160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0.1615074447981692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0.10470069301016602</v>
      </c>
      <c r="D87" s="209"/>
      <c r="E87" s="262">
        <f>E86*Exchange_Rate/Dashboard!G3</f>
        <v>0.10470069301016602</v>
      </c>
      <c r="F87" s="209"/>
      <c r="H87" s="262">
        <f>H86*Exchange_Rate/Dashboard!G3</f>
        <v>0.11498679349910453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0.48418820629429243</v>
      </c>
      <c r="K88" s="24"/>
    </row>
    <row r="89" spans="1:11" ht="15" customHeight="1" x14ac:dyDescent="0.4">
      <c r="B89" s="87" t="s">
        <v>221</v>
      </c>
      <c r="C89" s="261">
        <f>C88*Exchange_Rate/Dashboard!G3</f>
        <v>5.5675249291863634E-2</v>
      </c>
      <c r="D89" s="209"/>
      <c r="E89" s="261">
        <f>E88*Exchange_Rate/Dashboard!G3</f>
        <v>5.5675249291863634E-2</v>
      </c>
      <c r="F89" s="209"/>
      <c r="H89" s="261">
        <f>H88*Exchange_Rate/Dashboard!G3</f>
        <v>5.5675249291863634E-2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31.027270739397</v>
      </c>
      <c r="H93" s="87" t="s">
        <v>209</v>
      </c>
      <c r="I93" s="144">
        <f>FV(H87,D93,0,-(H86/(C93-D94)))*Exchange_Rate</f>
        <v>35.691719172318869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13.148758668789309</v>
      </c>
      <c r="H94" s="87" t="s">
        <v>210</v>
      </c>
      <c r="I94" s="144">
        <f>FV(H89,D93,0,-(H88/(C93-D94)))*Exchange_Rate</f>
        <v>13.148758668789309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16581227.897276837</v>
      </c>
      <c r="D97" s="213"/>
      <c r="E97" s="123">
        <f>PV(C94,D93,0,-F93)</f>
        <v>15.426037171429558</v>
      </c>
      <c r="F97" s="213"/>
      <c r="H97" s="123">
        <f>PV(C94,D93,0,-I93)</f>
        <v>17.745092415276876</v>
      </c>
      <c r="I97" s="123">
        <f>PV(C93,D93,0,-I93)</f>
        <v>24.221019211642588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16581227.897276837</v>
      </c>
      <c r="D100" s="109">
        <f>MIN(F100*(1-C94),E100)</f>
        <v>14.097730074350235</v>
      </c>
      <c r="E100" s="109">
        <f>MAX(E97+H98+E99,0)</f>
        <v>15.426037171429558</v>
      </c>
      <c r="F100" s="109">
        <f>(E100+H100)/2</f>
        <v>16.585564793353218</v>
      </c>
      <c r="H100" s="109">
        <f>MAX(C100*Data!$C$4/Common_Shares,0)</f>
        <v>17.745092415276876</v>
      </c>
      <c r="I100" s="109">
        <f>MAX(I97+H98+H99,0)</f>
        <v>24.221019211642588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6108491.5243471917</v>
      </c>
      <c r="D103" s="109">
        <f>MIN(F103*(1-C94),E103)</f>
        <v>5.5566683719476933</v>
      </c>
      <c r="E103" s="123">
        <f>PV(C94,D93,0,-F94)</f>
        <v>6.5372569081737568</v>
      </c>
      <c r="F103" s="109">
        <f>(E103+H103)/2</f>
        <v>6.5372569081737568</v>
      </c>
      <c r="H103" s="123">
        <f>PV(C94,D93,0,-I94)</f>
        <v>6.5372569081737568</v>
      </c>
      <c r="I103" s="109">
        <f>PV(C93,D93,0,-I94)</f>
        <v>8.9229755167690534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10261383.147131145</v>
      </c>
      <c r="D106" s="109">
        <f>(D100+D103)/2</f>
        <v>9.8271992231489644</v>
      </c>
      <c r="E106" s="123">
        <f>(E100+E103)/2</f>
        <v>10.981647039801658</v>
      </c>
      <c r="F106" s="109">
        <f>(F100+F103)/2</f>
        <v>11.561410850763487</v>
      </c>
      <c r="H106" s="123">
        <f>(H100+H103)/2</f>
        <v>12.141174661725316</v>
      </c>
      <c r="I106" s="123">
        <f>(I100+I103)/2</f>
        <v>16.571997364205821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