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CC3C8F3-23B8-42C8-9F03-76F9B4C6020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M52" i="2"/>
  <c r="E92" i="4" l="1"/>
  <c r="F97" i="4"/>
  <c r="F92" i="4"/>
  <c r="F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<sst xmlns="http://schemas.openxmlformats.org/spreadsheetml/2006/main" count="391" uniqueCount="271">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</sst>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266</v>
      </c>
    </row>
    <row r="5" spans="1:5" ht="13.9" x14ac:dyDescent="0.4">
      <c r="B5" s="141" t="s">
        <v>195</v>
      </c>
      <c r="C5" s="191" t="s">
        <v>267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268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7655673083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373709804</v>
      </c>
      <c r="D25" s="149">
        <v>345708706</v>
      </c>
      <c r="E25" s="149">
        <v>343360825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275320160</v>
      </c>
      <c r="D26" s="150">
        <v>262321797</v>
      </c>
      <c r="E26" s="150">
        <v>266450882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34880794+13975965</f>
        <v>48856759</v>
      </c>
      <c r="D27" s="150">
        <f>28715439+12023970</f>
        <v>40739409</v>
      </c>
      <c r="E27" s="150">
        <f>28646188+10742475</f>
        <v>39388663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14586346</v>
      </c>
      <c r="D28" s="150">
        <v>12667099</v>
      </c>
      <c r="E28" s="150">
        <v>12014891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3372815</v>
      </c>
      <c r="D29" s="150">
        <v>1902422</v>
      </c>
      <c r="E29" s="150">
        <v>1299556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25417</v>
      </c>
      <c r="D30" s="150">
        <v>258783</v>
      </c>
      <c r="E30" s="150">
        <v>444448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373709804</v>
      </c>
      <c r="D91" s="209"/>
      <c r="E91" s="251">
        <f>C91</f>
        <v>373709804</v>
      </c>
      <c r="F91" s="251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59">
        <f>C92/C91</f>
        <v>0.73672180139004328</v>
      </c>
      <c r="E92" s="252">
        <f>E91*D92</f>
        <v>275320160</v>
      </c>
      <c r="F92" s="252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59">
        <f>C93/C91</f>
        <v>0.16976569605864555</v>
      </c>
      <c r="E93" s="252">
        <f>E91*D93</f>
        <v>63443105</v>
      </c>
      <c r="F93" s="252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59">
        <f>C94/C91</f>
        <v>9.0252248239117653E-3</v>
      </c>
      <c r="E94" s="253"/>
      <c r="F94" s="252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59">
        <f>C97/C91</f>
        <v>9.0683554379893485E-5</v>
      </c>
      <c r="E97" s="253"/>
      <c r="F97" s="252">
        <f>F91*D97</f>
        <v>33889.333333333336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0300.HK</v>
      </c>
      <c r="D3" s="278"/>
      <c r="E3" s="87"/>
      <c r="F3" s="3" t="s">
        <v>1</v>
      </c>
      <c r="G3" s="132">
        <v>74.7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美的集團</v>
      </c>
      <c r="D4" s="280"/>
      <c r="E4" s="87"/>
      <c r="F4" s="3" t="s">
        <v>2</v>
      </c>
      <c r="G4" s="283">
        <f>Inputs!C10</f>
        <v>7655673083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571878.77930009994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0.73672180139004328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9.0252248239117653E-3</v>
      </c>
      <c r="F24" s="140" t="s">
        <v>261</v>
      </c>
      <c r="G24" s="268">
        <f>G3/(Fin_Analysis!H86*G7)</f>
        <v>22.590940138311009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8.4396594173019507E-2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259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26.192976750519612</v>
      </c>
      <c r="D29" s="129">
        <f>G29*(1+G20)</f>
        <v>47.130714812003511</v>
      </c>
      <c r="E29" s="87"/>
      <c r="F29" s="131">
        <f>IF(Fin_Analysis!C108="Profit",Fin_Analysis!F100,IF(Fin_Analysis!C108="Dividend",Fin_Analysis!F103,Fin_Analysis!F106))</f>
        <v>30.81526676531719</v>
      </c>
      <c r="G29" s="274">
        <f>IF(Fin_Analysis!C108="Profit",Fin_Analysis!I100,IF(Fin_Analysis!C108="Dividend",Fin_Analysis!I103,Fin_Analysis!I106))</f>
        <v>40.983230271307406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373709804</v>
      </c>
      <c r="D6" s="200">
        <f>IF(Inputs!D25="","",Inputs!D25)</f>
        <v>345708706</v>
      </c>
      <c r="E6" s="200">
        <f>IF(Inputs!E25="","",Inputs!E25)</f>
        <v>343360825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275320160</v>
      </c>
      <c r="D8" s="199">
        <f>IF(Inputs!D26="","",Inputs!D26)</f>
        <v>262321797</v>
      </c>
      <c r="E8" s="199">
        <f>IF(Inputs!E26="","",Inputs!E26)</f>
        <v>266450882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98389644</v>
      </c>
      <c r="D9" s="151">
        <f t="shared" si="2"/>
        <v>83386909</v>
      </c>
      <c r="E9" s="151">
        <f t="shared" si="2"/>
        <v>76909943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48856759</v>
      </c>
      <c r="D10" s="199">
        <f>IF(Inputs!D27="","",Inputs!D27)</f>
        <v>40739409</v>
      </c>
      <c r="E10" s="199">
        <f>IF(Inputs!E27="","",Inputs!E27)</f>
        <v>39388663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14586346</v>
      </c>
      <c r="D11" s="199">
        <f>IF(Inputs!D28="","",Inputs!D28)</f>
        <v>12667099</v>
      </c>
      <c r="E11" s="199">
        <f>IF(Inputs!E28="","",Inputs!E28)</f>
        <v>12014891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33889.333333333336</v>
      </c>
      <c r="D12" s="199">
        <f>IF(Inputs!D30="","",MAX(Inputs!D30,0)/(1-Fin_Analysis!$I$84))</f>
        <v>345044</v>
      </c>
      <c r="E12" s="199">
        <f>IF(Inputs!E30="","",MAX(Inputs!E30,0)/(1-Fin_Analysis!$I$84))</f>
        <v>592597.33333333337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9.3421818996931277E-2</v>
      </c>
      <c r="D13" s="229">
        <f t="shared" si="3"/>
        <v>8.5723490573592909E-2</v>
      </c>
      <c r="E13" s="229">
        <f t="shared" si="3"/>
        <v>7.2558631773635404E-2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34912649.666666664</v>
      </c>
      <c r="D14" s="230">
        <f t="shared" ref="D14:M14" si="4">IF(D6="","",D9-D10-MAX(D11,0)-MAX(D12,0))</f>
        <v>29635357</v>
      </c>
      <c r="E14" s="230">
        <f t="shared" si="4"/>
        <v>24913791.666666668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0.17807420597857701</v>
      </c>
      <c r="D15" s="232">
        <f t="shared" ref="D15:M15" si="5">IF(E14="","",IF(ABS(D14+E14)=ABS(D14)+ABS(E14),IF(D14&lt;0,-1,1)*(D14-E14)/E14,"Turn"))</f>
        <v>0.18951612811511689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3372815</v>
      </c>
      <c r="D17" s="199">
        <f>IF(Inputs!D29="","",Inputs!D29)</f>
        <v>1902422</v>
      </c>
      <c r="E17" s="199">
        <f>IF(Inputs!E29="","",Inputs!E29)</f>
        <v>1299556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31539834.666666664</v>
      </c>
      <c r="D22" s="161">
        <f t="shared" ref="D22:M22" si="8">IF(D6="","",D14-MAX(D16,0)-MAX(D17,0)-ABS(MAX(D21,0)-MAX(D19,0)))</f>
        <v>27732935</v>
      </c>
      <c r="E22" s="161">
        <f t="shared" si="8"/>
        <v>23614235.666666668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6.3297445629764637E-2</v>
      </c>
      <c r="D23" s="153">
        <f t="shared" si="9"/>
        <v>6.0165396152910305E-2</v>
      </c>
      <c r="E23" s="153">
        <f t="shared" si="9"/>
        <v>5.1580365203281416E-2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0.13726998843312713</v>
      </c>
      <c r="D25" s="233">
        <f t="shared" ref="D25:M25" si="10">IF(E24="","",IF(ABS(D24+E24)=ABS(D24)+ABS(E24),IF(D24&lt;0,-1,1)*(D24-E24)/E24,"Turn"))</f>
        <v>0.17441594940746688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0.73672180139004328</v>
      </c>
      <c r="D42" s="156">
        <f t="shared" si="34"/>
        <v>0.75879430412724402</v>
      </c>
      <c r="E42" s="156">
        <f t="shared" si="34"/>
        <v>0.77600839292018831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0.16976569605864555</v>
      </c>
      <c r="D43" s="153">
        <f t="shared" si="35"/>
        <v>0.15448412803350112</v>
      </c>
      <c r="E43" s="153">
        <f t="shared" si="35"/>
        <v>0.1497071018512377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9.0252248239117653E-3</v>
      </c>
      <c r="D45" s="153">
        <f t="shared" si="37"/>
        <v>5.5029623697124943E-3</v>
      </c>
      <c r="E45" s="153">
        <f t="shared" si="37"/>
        <v>3.7848115025935179E-3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9.0683554379893485E-5</v>
      </c>
      <c r="D46" s="153">
        <f t="shared" ref="D46:M46" si="38">IF(D6="","",MAX(D12,0)/D6)</f>
        <v>9.9807726566191824E-4</v>
      </c>
      <c r="E46" s="153">
        <f t="shared" si="38"/>
        <v>1.7258734549386446E-3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8.4396594173019507E-2</v>
      </c>
      <c r="D48" s="153">
        <f t="shared" si="40"/>
        <v>8.0220528203880412E-2</v>
      </c>
      <c r="E48" s="153">
        <f t="shared" si="40"/>
        <v>6.8773820271041897E-2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0.10693825873363277</v>
      </c>
      <c r="D56" s="153">
        <f t="shared" si="46"/>
        <v>6.8597932386168292E-2</v>
      </c>
      <c r="E56" s="153">
        <f t="shared" si="46"/>
        <v>5.5032736114953934E-2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09"/>
      <c r="E74" s="238">
        <f>Inputs!E91</f>
        <v>373709804</v>
      </c>
      <c r="F74" s="209"/>
      <c r="H74" s="238">
        <f>Inputs!F91</f>
        <v>373709804</v>
      </c>
      <c r="I74" s="209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59">
        <f>C75/$C$74</f>
        <v>0.73672180139004328</v>
      </c>
      <c r="E75" s="238">
        <f>Inputs!E92</f>
        <v>275320160</v>
      </c>
      <c r="F75" s="160">
        <f>E75/E74</f>
        <v>0.73672180139004328</v>
      </c>
      <c r="H75" s="238">
        <f>Inputs!F92</f>
        <v>275320160</v>
      </c>
      <c r="I75" s="160">
        <f>H75/$H$74</f>
        <v>0.73672180139004328</v>
      </c>
      <c r="K75" s="24"/>
    </row>
    <row r="76" spans="1:11" ht="15" customHeight="1" x14ac:dyDescent="0.4">
      <c r="B76" s="35" t="s">
        <v>95</v>
      </c>
      <c r="C76" s="161">
        <f>C74-C75</f>
        <v>98389644</v>
      </c>
      <c r="D76" s="210"/>
      <c r="E76" s="162">
        <f>E74-E75</f>
        <v>98389644</v>
      </c>
      <c r="F76" s="210"/>
      <c r="H76" s="162">
        <f>H74-H75</f>
        <v>98389644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59">
        <f>C77/$C$74</f>
        <v>0.16976569605864555</v>
      </c>
      <c r="E77" s="238">
        <f>Inputs!E93</f>
        <v>63443105</v>
      </c>
      <c r="F77" s="160">
        <f>E77/E74</f>
        <v>0.16976569605864555</v>
      </c>
      <c r="H77" s="238">
        <f>Inputs!F93</f>
        <v>63443105</v>
      </c>
      <c r="I77" s="160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59">
        <f>C78/$C$74</f>
        <v>9.0683554379893485E-5</v>
      </c>
      <c r="E78" s="180">
        <f>E74*F78</f>
        <v>33889.333333333336</v>
      </c>
      <c r="F78" s="160">
        <f>I78</f>
        <v>9.0683554379893485E-5</v>
      </c>
      <c r="H78" s="238">
        <f>Inputs!F97</f>
        <v>33889.333333333336</v>
      </c>
      <c r="I78" s="160">
        <f>H78/$H$74</f>
        <v>9.0683554379893485E-5</v>
      </c>
      <c r="K78" s="24"/>
    </row>
    <row r="79" spans="1:11" ht="15" customHeight="1" x14ac:dyDescent="0.4">
      <c r="B79" s="256" t="s">
        <v>232</v>
      </c>
      <c r="C79" s="257">
        <f>C76-C77-C78</f>
        <v>34912649.666666664</v>
      </c>
      <c r="D79" s="258">
        <f>C79/C74</f>
        <v>9.3421818996931277E-2</v>
      </c>
      <c r="E79" s="259">
        <f>E76-E77-E78</f>
        <v>34912649.666666664</v>
      </c>
      <c r="F79" s="258">
        <f>E79/E74</f>
        <v>9.3421818996931277E-2</v>
      </c>
      <c r="G79" s="260"/>
      <c r="H79" s="259">
        <f>H76-H77-H78</f>
        <v>34912649.666666664</v>
      </c>
      <c r="I79" s="258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59">
        <f>C81/$C$74</f>
        <v>9.0252248239117653E-3</v>
      </c>
      <c r="E81" s="180">
        <f>E74*F81</f>
        <v>3372815.0000000005</v>
      </c>
      <c r="F81" s="160">
        <f>I81</f>
        <v>9.0252248239117653E-3</v>
      </c>
      <c r="H81" s="238">
        <f>Inputs!F94</f>
        <v>3372815.0000000005</v>
      </c>
      <c r="I81" s="160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31539834.666666664</v>
      </c>
      <c r="D83" s="164">
        <f>C83/$C$74</f>
        <v>8.4396594173019507E-2</v>
      </c>
      <c r="E83" s="165">
        <f>E79-E81-E82-E80</f>
        <v>31539834.666666664</v>
      </c>
      <c r="F83" s="164">
        <f>E83/E74</f>
        <v>8.4396594173019507E-2</v>
      </c>
      <c r="H83" s="165">
        <f>H79-H81-H82-H80</f>
        <v>31539834.666666664</v>
      </c>
      <c r="I83" s="164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23654876</v>
      </c>
      <c r="D85" s="258">
        <f>C85/$C$74</f>
        <v>6.3297445629764637E-2</v>
      </c>
      <c r="E85" s="264">
        <f>E83*(1-F84)</f>
        <v>23654876</v>
      </c>
      <c r="F85" s="258">
        <f>E85/E74</f>
        <v>6.3297445629764637E-2</v>
      </c>
      <c r="G85" s="260"/>
      <c r="H85" s="264">
        <f>H83*(1-I84)</f>
        <v>23654876</v>
      </c>
      <c r="I85" s="258">
        <f>H85/$H$74</f>
        <v>6.3297445629764637E-2</v>
      </c>
      <c r="K85" s="24"/>
    </row>
    <row r="86" spans="1:11" ht="15" customHeight="1" x14ac:dyDescent="0.4">
      <c r="B86" s="87" t="s">
        <v>160</v>
      </c>
      <c r="C86" s="167">
        <f>C85*Data!C4/Common_Shares</f>
        <v>3.0898492847777734</v>
      </c>
      <c r="D86" s="209"/>
      <c r="E86" s="168">
        <f>E85*Data!C4/Common_Shares</f>
        <v>3.0898492847777734</v>
      </c>
      <c r="F86" s="209"/>
      <c r="H86" s="168">
        <f>H85*Data!C4/Common_Shares</f>
        <v>3.0898492847777734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4.4265532725844492E-2</v>
      </c>
      <c r="D87" s="209"/>
      <c r="E87" s="262">
        <f>E86*Exchange_Rate/Dashboard!G3</f>
        <v>4.4265532725844492E-2</v>
      </c>
      <c r="F87" s="209"/>
      <c r="H87" s="262">
        <f>H86*Exchange_Rate/Dashboard!G3</f>
        <v>4.4265532725844492E-2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61.980508293150585</v>
      </c>
      <c r="H93" s="87" t="s">
        <v>209</v>
      </c>
      <c r="I93" s="144">
        <f>FV(H87,D93,0,-(H86/(C93-D94)))*Exchange_Rate</f>
        <v>61.980508293150585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235911608.32070327</v>
      </c>
      <c r="D97" s="213"/>
      <c r="E97" s="123">
        <f>PV(C94,D93,0,-F93)</f>
        <v>30.81526676531719</v>
      </c>
      <c r="F97" s="213"/>
      <c r="H97" s="123">
        <f>PV(C94,D93,0,-I93)</f>
        <v>30.81526676531719</v>
      </c>
      <c r="I97" s="123">
        <f>PV(C93,D93,0,-I93)</f>
        <v>40.983230271307406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235911608.32070327</v>
      </c>
      <c r="D100" s="109">
        <f>MIN(F100*(1-C94),E100)</f>
        <v>26.192976750519612</v>
      </c>
      <c r="E100" s="109">
        <f>MAX(E97+H98+E99,0)</f>
        <v>30.81526676531719</v>
      </c>
      <c r="F100" s="109">
        <f>(E100+H100)/2</f>
        <v>30.81526676531719</v>
      </c>
      <c r="H100" s="109">
        <f>MAX(C100*Data!$C$4/Common_Shares,0)</f>
        <v>30.815266765317187</v>
      </c>
      <c r="I100" s="109">
        <f>MAX(I97+H98+H99,0)</f>
        <v>40.983230271307406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117955804.16035163</v>
      </c>
      <c r="D106" s="109">
        <f>(D100+D103)/2</f>
        <v>13.096488375259806</v>
      </c>
      <c r="E106" s="123">
        <f>(E100+E103)/2</f>
        <v>15.407633382658595</v>
      </c>
      <c r="F106" s="109">
        <f>(F100+F103)/2</f>
        <v>15.407633382658595</v>
      </c>
      <c r="H106" s="123">
        <f>(H100+H103)/2</f>
        <v>15.407633382658593</v>
      </c>
      <c r="I106" s="123">
        <f>(I100+I103)/2</f>
        <v>20.491615135653703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