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4CC9ABC-5144-43EC-82EE-C97FC931110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3" i="4"/>
  <c r="D32" i="4"/>
  <c r="C32" i="4"/>
  <c r="D31" i="4"/>
  <c r="C31" i="4"/>
  <c r="D27" i="4"/>
  <c r="C27" i="4"/>
  <c r="M52" i="2"/>
  <c r="F96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<sst xmlns="http://schemas.openxmlformats.org/spreadsheetml/2006/main" count="391" uniqueCount="270">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</sst>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9.5756364731927404E-3</c:v>
                </c:pt>
                <c:pt idx="6">
                  <c:v>6.2799518563678491E-2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587107850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1862982-2265630</f>
        <v>-402648</v>
      </c>
      <c r="D31" s="150">
        <f>1816473-1375529</f>
        <v>440944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198268+269041+166178</f>
        <v>633487</v>
      </c>
      <c r="D32" s="150">
        <f>132434+240428+139998</f>
        <v>512860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502000</v>
      </c>
      <c r="D33" s="150">
        <f>C33*1.137</f>
        <v>570774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1.7981477162025496E-2</v>
      </c>
      <c r="D45" s="152">
        <f>IF(D44="","",D44*Exchange_Rate/Dashboard!$G$3)</f>
        <v>1.7235868406917352E-2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3.9" x14ac:dyDescent="0.4">
      <c r="B95" s="28" t="s">
        <v>246</v>
      </c>
      <c r="C95" s="77">
        <f>ABS(MAX(C33,0)-C32)</f>
        <v>131487</v>
      </c>
      <c r="D95" s="159">
        <f>C95/C91</f>
        <v>9.5756364731927404E-3</v>
      </c>
      <c r="E95" s="252">
        <f>E91*D95</f>
        <v>131487</v>
      </c>
      <c r="F95" s="252">
        <f>F91*D95</f>
        <v>131487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0669.HK</v>
      </c>
      <c r="D3" s="278"/>
      <c r="E3" s="87"/>
      <c r="F3" s="3" t="s">
        <v>1</v>
      </c>
      <c r="G3" s="132">
        <v>107.4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創科實業</v>
      </c>
      <c r="D4" s="280"/>
      <c r="E4" s="87"/>
      <c r="F4" s="3" t="s">
        <v>2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63055.383090000003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7.7746000289916992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0.60531106380837341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9.0344684898005026E-3</v>
      </c>
      <c r="F24" s="140" t="s">
        <v>260</v>
      </c>
      <c r="G24" s="268">
        <f>G3/(Fin_Analysis!H86*G7)</f>
        <v>12.540399407362264</v>
      </c>
    </row>
    <row r="25" spans="1:8" ht="15.75" customHeight="1" x14ac:dyDescent="0.4">
      <c r="B25" s="137" t="s">
        <v>243</v>
      </c>
      <c r="C25" s="171">
        <f>Fin_Analysis!I82</f>
        <v>9.5756364731927404E-3</v>
      </c>
      <c r="F25" s="140" t="s">
        <v>174</v>
      </c>
      <c r="G25" s="171">
        <f>Fin_Analysis!I88</f>
        <v>0.22549490554616261</v>
      </c>
    </row>
    <row r="26" spans="1:8" ht="15.75" customHeight="1" x14ac:dyDescent="0.4">
      <c r="B26" s="138" t="s">
        <v>173</v>
      </c>
      <c r="C26" s="171">
        <f>Fin_Analysis!I83</f>
        <v>6.2799518563678491E-2</v>
      </c>
      <c r="F26" s="141" t="s">
        <v>193</v>
      </c>
      <c r="G26" s="178">
        <f>Fin_Analysis!H88*Exchange_Rate/G3</f>
        <v>1.7981477162025496E-2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87.613577929377328</v>
      </c>
      <c r="D29" s="129">
        <f>G29*(1+G20)</f>
        <v>161.7947702186338</v>
      </c>
      <c r="E29" s="87"/>
      <c r="F29" s="131">
        <f>IF(Fin_Analysis!C108="Profit",Fin_Analysis!F100,IF(Fin_Analysis!C108="Dividend",Fin_Analysis!F103,Fin_Analysis!F106))</f>
        <v>103.07479756397333</v>
      </c>
      <c r="G29" s="274">
        <f>IF(Fin_Analysis!C108="Profit",Fin_Analysis!I100,IF(Fin_Analysis!C108="Dividend",Fin_Analysis!I103,Fin_Analysis!I106))</f>
        <v>140.69110453794244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-402648</v>
      </c>
      <c r="D16" s="199">
        <f>IF(Inputs!D31="","",Inputs!D31)</f>
        <v>440944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4.6134151836253391E-2</v>
      </c>
      <c r="D18" s="152">
        <f t="shared" si="6"/>
        <v>3.8694975983326288E-2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633487</v>
      </c>
      <c r="D19" s="199">
        <f>IF(Inputs!D32="","",Inputs!D32)</f>
        <v>512860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3.6558515363060651E-2</v>
      </c>
      <c r="D20" s="152">
        <f t="shared" si="7"/>
        <v>4.3064552162202313E-2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502000</v>
      </c>
      <c r="D21" s="199">
        <f>IF(Inputs!D33="","",Inputs!D33)</f>
        <v>570774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862326</v>
      </c>
      <c r="D22" s="161">
        <f t="shared" ref="D22:M22" si="8">IF(D6="","",D14-MAX(D16,0)-MAX(D17,0)-ABS(MAX(D21,0)-MAX(D19,0)))</f>
        <v>618667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4.7099638922758924E-2</v>
      </c>
      <c r="D23" s="153">
        <f t="shared" si="9"/>
        <v>3.5008537476128754E-2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646744.5</v>
      </c>
      <c r="D24" s="77">
        <f>IF(D6="","",D22*(1-Fin_Analysis!$I$84))</f>
        <v>464000.25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0.39384515417825744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0.60531106380837341</v>
      </c>
      <c r="D42" s="156">
        <f t="shared" si="34"/>
        <v>0.60671422644339779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0.31327931266495485</v>
      </c>
      <c r="D43" s="153">
        <f t="shared" si="35"/>
        <v>0.3036976917842476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3.326895739576459E-2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9.0344684898005026E-3</v>
      </c>
      <c r="D45" s="153">
        <f t="shared" si="37"/>
        <v>5.2714982295422553E-3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9.5756364731927404E-3</v>
      </c>
      <c r="D47" s="153">
        <f t="shared" ref="D47:M47" si="39">IF(D6="","",ABS(MAX(D21,0)-MAX(D19,0))/D6)</f>
        <v>4.369576178876026E-3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6.2799518563678561E-2</v>
      </c>
      <c r="D48" s="153">
        <f t="shared" si="40"/>
        <v>4.6678049968171674E-2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-0.8432524806594428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0.1438620660863757</v>
      </c>
      <c r="D56" s="153">
        <f t="shared" si="46"/>
        <v>0.11293312880758147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4">
      <c r="B76" s="35" t="s">
        <v>95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131487</v>
      </c>
      <c r="D82" s="159">
        <f>C82/$C$74</f>
        <v>9.5756364731927404E-3</v>
      </c>
      <c r="E82" s="238">
        <f>Inputs!E95</f>
        <v>131487</v>
      </c>
      <c r="F82" s="160">
        <f>E82/E74</f>
        <v>9.5756364731927404E-3</v>
      </c>
      <c r="H82" s="238">
        <f>Inputs!F95</f>
        <v>131487</v>
      </c>
      <c r="I82" s="160">
        <f>H82/$H$74</f>
        <v>9.5756364731927404E-3</v>
      </c>
      <c r="K82" s="24"/>
    </row>
    <row r="83" spans="1:11" ht="15" customHeight="1" thickBot="1" x14ac:dyDescent="0.45">
      <c r="B83" s="105" t="s">
        <v>125</v>
      </c>
      <c r="C83" s="163">
        <f>C79-C81-C82-C80</f>
        <v>862326</v>
      </c>
      <c r="D83" s="164">
        <f>C83/$C$74</f>
        <v>6.2799518563678561E-2</v>
      </c>
      <c r="E83" s="165">
        <f>E79-E81-E82-E80</f>
        <v>862325.99999999907</v>
      </c>
      <c r="F83" s="164">
        <f>E83/E74</f>
        <v>6.2799518563678491E-2</v>
      </c>
      <c r="H83" s="165">
        <f>H79-H81-H82-H80</f>
        <v>862325.99999999907</v>
      </c>
      <c r="I83" s="164">
        <f>H83/$H$74</f>
        <v>6.2799518563678491E-2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646744.5</v>
      </c>
      <c r="D85" s="258">
        <f>C85/$C$74</f>
        <v>4.7099638922758924E-2</v>
      </c>
      <c r="E85" s="264">
        <f>E83*(1-F84)</f>
        <v>646744.4999999993</v>
      </c>
      <c r="F85" s="258">
        <f>E85/E74</f>
        <v>4.7099638922758869E-2</v>
      </c>
      <c r="G85" s="260"/>
      <c r="H85" s="264">
        <f>H83*(1-I84)</f>
        <v>646744.4999999993</v>
      </c>
      <c r="I85" s="258">
        <f>H85/$H$74</f>
        <v>4.7099638922758869E-2</v>
      </c>
      <c r="K85" s="24"/>
    </row>
    <row r="86" spans="1:11" ht="15" customHeight="1" x14ac:dyDescent="0.4">
      <c r="B86" s="87" t="s">
        <v>160</v>
      </c>
      <c r="C86" s="167">
        <f>C85*Data!C4/Common_Shares</f>
        <v>1.1015769930516173</v>
      </c>
      <c r="D86" s="209"/>
      <c r="E86" s="168">
        <f>E85*Data!C4/Common_Shares</f>
        <v>1.1015769930516162</v>
      </c>
      <c r="F86" s="209"/>
      <c r="H86" s="168">
        <f>H85*Data!C4/Common_Shares</f>
        <v>1.1015769930516162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7.9742276742231777E-2</v>
      </c>
      <c r="D87" s="209"/>
      <c r="E87" s="262">
        <f>E86*Exchange_Rate/Dashboard!G3</f>
        <v>7.9742276742231694E-2</v>
      </c>
      <c r="F87" s="209"/>
      <c r="H87" s="262">
        <f>H86*Exchange_Rate/Dashboard!G3</f>
        <v>7.9742276742231694E-2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0.24840000000000001</v>
      </c>
      <c r="D88" s="166">
        <f>C88/C86</f>
        <v>0.22549490554616239</v>
      </c>
      <c r="E88" s="170">
        <f>Inputs!E98</f>
        <v>0.24840000000000001</v>
      </c>
      <c r="F88" s="166">
        <f>E88/E86</f>
        <v>0.22549490554616261</v>
      </c>
      <c r="H88" s="170">
        <f>Inputs!F98</f>
        <v>0.24840000000000001</v>
      </c>
      <c r="I88" s="166">
        <f>H88/H86</f>
        <v>0.22549490554616261</v>
      </c>
      <c r="K88" s="24"/>
    </row>
    <row r="89" spans="1:11" ht="15" customHeight="1" x14ac:dyDescent="0.4">
      <c r="B89" s="87" t="s">
        <v>221</v>
      </c>
      <c r="C89" s="261">
        <f>C88*Exchange_Rate/Dashboard!G3</f>
        <v>1.7981477162025496E-2</v>
      </c>
      <c r="D89" s="209"/>
      <c r="E89" s="261">
        <f>E88*Exchange_Rate/Dashboard!G3</f>
        <v>1.7981477162025496E-2</v>
      </c>
      <c r="F89" s="209"/>
      <c r="H89" s="261">
        <f>H88*Exchange_Rate/Dashboard!G3</f>
        <v>1.7981477162025496E-2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207.32023493040518</v>
      </c>
      <c r="H93" s="87" t="s">
        <v>209</v>
      </c>
      <c r="I93" s="144">
        <f>FV(H87,D93,0,-(H86/(C93-D94)))*Exchange_Rate</f>
        <v>207.32023493040518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34.823889374089653</v>
      </c>
      <c r="H94" s="87" t="s">
        <v>210</v>
      </c>
      <c r="I94" s="144">
        <f>FV(H89,D93,0,-(H88/(C93-D94)))*Exchange_Rate</f>
        <v>34.823889374089653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60516022.786969617</v>
      </c>
      <c r="D97" s="213"/>
      <c r="E97" s="123">
        <f>PV(C94,D93,0,-F93)</f>
        <v>103.07479756397333</v>
      </c>
      <c r="F97" s="213"/>
      <c r="H97" s="123">
        <f>PV(C94,D93,0,-I93)</f>
        <v>103.07479756397333</v>
      </c>
      <c r="I97" s="123">
        <f>PV(C93,D93,0,-I93)</f>
        <v>140.69110453794244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60516022.786969617</v>
      </c>
      <c r="D100" s="109">
        <f>MIN(F100*(1-C94),E100)</f>
        <v>87.613577929377328</v>
      </c>
      <c r="E100" s="109">
        <f>MAX(E97+H98+E99,0)</f>
        <v>103.07479756397333</v>
      </c>
      <c r="F100" s="109">
        <f>(E100+H100)/2</f>
        <v>103.07479756397333</v>
      </c>
      <c r="H100" s="109">
        <f>MAX(C100*Data!$C$4/Common_Shares,0)</f>
        <v>103.07479756397333</v>
      </c>
      <c r="I100" s="109">
        <f>MAX(I97+H98+H99,0)</f>
        <v>140.69110453794244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10164966.693196869</v>
      </c>
      <c r="D103" s="109">
        <f>MIN(F103*(1-C94),E103)</f>
        <v>14.716583484988897</v>
      </c>
      <c r="E103" s="123">
        <f>PV(C94,D93,0,-F94)</f>
        <v>17.313627629398702</v>
      </c>
      <c r="F103" s="109">
        <f>(E103+H103)/2</f>
        <v>17.313627629398702</v>
      </c>
      <c r="H103" s="123">
        <f>PV(C94,D93,0,-I94)</f>
        <v>17.313627629398702</v>
      </c>
      <c r="I103" s="109">
        <f>PV(C93,D93,0,-I94)</f>
        <v>23.632094870008526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35340494.740083247</v>
      </c>
      <c r="D106" s="109">
        <f>(D100+D103)/2</f>
        <v>51.165080707183115</v>
      </c>
      <c r="E106" s="123">
        <f>(E100+E103)/2</f>
        <v>60.194212596686015</v>
      </c>
      <c r="F106" s="109">
        <f>(F100+F103)/2</f>
        <v>60.194212596686015</v>
      </c>
      <c r="H106" s="123">
        <f>(H100+H103)/2</f>
        <v>60.194212596686015</v>
      </c>
      <c r="I106" s="123">
        <f>(I100+I103)/2</f>
        <v>82.161599703975483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