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4CA73C8-9D61-4A83-ACCF-437DC03AD39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M52" i="2"/>
  <c r="E95" i="4" l="1"/>
  <c r="F96" i="4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<sst xmlns="http://schemas.openxmlformats.org/spreadsheetml/2006/main" count="391" uniqueCount="272">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</sst>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9267407258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3.4/Exchange_Rate</f>
        <v>3.1770929153678766</v>
      </c>
      <c r="D44" s="250">
        <f>2.4/Exchange_Rate</f>
        <v>2.2426538226126187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8.2644628099173556E-3</v>
      </c>
      <c r="D45" s="152">
        <f>IF(D44="","",D44*Exchange_Rate/Dashboard!$G$3)</f>
        <v>5.8337384540593099E-3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207</v>
      </c>
      <c r="C98" s="237">
        <f>C44</f>
        <v>3.1770929153678766</v>
      </c>
      <c r="D98" s="266"/>
      <c r="E98" s="254">
        <f>F98</f>
        <v>3.1770929153678766</v>
      </c>
      <c r="F98" s="254">
        <f>C98</f>
        <v>3.1770929153678766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0700.HK</v>
      </c>
      <c r="D3" s="278"/>
      <c r="E3" s="87"/>
      <c r="F3" s="3" t="s">
        <v>1</v>
      </c>
      <c r="G3" s="132">
        <v>411.4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騰訊控股</v>
      </c>
      <c r="D4" s="280"/>
      <c r="E4" s="87"/>
      <c r="F4" s="3" t="s">
        <v>2</v>
      </c>
      <c r="G4" s="283">
        <f>Inputs!C10</f>
        <v>9267407258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3812611.3459411999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0.51871628777616319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3.8407337314908276</v>
      </c>
    </row>
    <row r="24" spans="1:8" ht="15.75" customHeight="1" x14ac:dyDescent="0.4">
      <c r="B24" s="137" t="s">
        <v>170</v>
      </c>
      <c r="C24" s="171">
        <f>Fin_Analysis!I81</f>
        <v>2.0144003021272054E-2</v>
      </c>
      <c r="F24" s="140" t="s">
        <v>259</v>
      </c>
      <c r="G24" s="268">
        <f>G3/(Fin_Analysis!H86*G7)</f>
        <v>34.093434361639929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0.28176392034413167</v>
      </c>
    </row>
    <row r="26" spans="1:8" ht="15.75" customHeight="1" x14ac:dyDescent="0.4">
      <c r="B26" s="138" t="s">
        <v>173</v>
      </c>
      <c r="C26" s="171">
        <f>Fin_Analysis!I83</f>
        <v>0.22877761631486909</v>
      </c>
      <c r="F26" s="141" t="s">
        <v>193</v>
      </c>
      <c r="G26" s="178">
        <f>Fin_Analysis!H88*Exchange_Rate/G3</f>
        <v>8.2644628099173556E-3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63.716929597559144</v>
      </c>
      <c r="D29" s="129">
        <f>G29*(1+G20)</f>
        <v>125.9116052785575</v>
      </c>
      <c r="E29" s="87"/>
      <c r="F29" s="131">
        <f>IF(Fin_Analysis!C108="Profit",Fin_Analysis!F100,IF(Fin_Analysis!C108="Dividend",Fin_Analysis!F103,Fin_Analysis!F106))</f>
        <v>74.96109364418723</v>
      </c>
      <c r="G29" s="274">
        <f>IF(Fin_Analysis!C108="Profit",Fin_Analysis!I100,IF(Fin_Analysis!C108="Dividend",Fin_Analysis!I103,Fin_Analysis!I106))</f>
        <v>109.48835241613696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0.30171018928907634</v>
      </c>
      <c r="D40" s="155">
        <f>IF(D6="","",D14/MAX(D39,0))</f>
        <v>6.2984808450164782E-3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0.51871628777616319</v>
      </c>
      <c r="D42" s="156">
        <f t="shared" si="34"/>
        <v>0.56947950778285894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0.22616191719415779</v>
      </c>
      <c r="D43" s="153">
        <f t="shared" si="35"/>
        <v>0.2451077626624735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2.0144003021272054E-2</v>
      </c>
      <c r="D45" s="153">
        <f t="shared" si="37"/>
        <v>1.686406324384368E-2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6.2001756935379264E-3</v>
      </c>
      <c r="D46" s="153">
        <f t="shared" ref="D46:M46" si="38">IF(D6="","",MAX(D12,0)/D6)</f>
        <v>1.1204239337940056E-3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0.22877761631486909</v>
      </c>
      <c r="D48" s="153">
        <f t="shared" si="40"/>
        <v>0.16742824237702988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8.5794274361058437E-2</v>
      </c>
      <c r="D50" s="156">
        <f t="shared" si="41"/>
        <v>0.77753574056175079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7.2034350549658056E-3</v>
      </c>
      <c r="D51" s="153">
        <f t="shared" si="42"/>
        <v>4.071861610813774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0.43950826903206702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0.44519746932515336</v>
      </c>
      <c r="D55" s="157">
        <f t="shared" si="45"/>
        <v>5.6738563800966181E-2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8.8050585305284618E-2</v>
      </c>
      <c r="D56" s="153">
        <f t="shared" si="46"/>
        <v>0.10072412517995426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1.3450387544929943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-275091.53926607681</v>
      </c>
      <c r="E6" s="56">
        <f>1-D6/D3</f>
        <v>1.2965636362192599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3.8407337314908276</v>
      </c>
      <c r="E53" s="88">
        <f>IF(C53=0,0,MAX(C53,C53*Dashboard!G23))</f>
        <v>257006.53837644024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312960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95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232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160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2.9331160639103737E-2</v>
      </c>
      <c r="D87" s="209"/>
      <c r="E87" s="262">
        <f>E86*Exchange_Rate/Dashboard!G3</f>
        <v>2.9331160639103737E-2</v>
      </c>
      <c r="F87" s="209"/>
      <c r="H87" s="262">
        <f>H86*Exchange_Rate/Dashboard!G3</f>
        <v>2.9331160639103737E-2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3.1770929153678766</v>
      </c>
      <c r="D88" s="166">
        <f>C88/C86</f>
        <v>0.28176392034413167</v>
      </c>
      <c r="E88" s="170">
        <f>Inputs!E98</f>
        <v>3.1770929153678766</v>
      </c>
      <c r="F88" s="166">
        <f>E88/E86</f>
        <v>0.28176392034413167</v>
      </c>
      <c r="H88" s="170">
        <f>Inputs!F98</f>
        <v>3.1770929153678766</v>
      </c>
      <c r="I88" s="166">
        <f>H88/H86</f>
        <v>0.28176392034413167</v>
      </c>
      <c r="K88" s="24"/>
    </row>
    <row r="89" spans="1:11" ht="15" customHeight="1" x14ac:dyDescent="0.4">
      <c r="B89" s="87" t="s">
        <v>221</v>
      </c>
      <c r="C89" s="261">
        <f>C88*Exchange_Rate/Dashboard!G3</f>
        <v>8.2644628099173556E-3</v>
      </c>
      <c r="D89" s="209"/>
      <c r="E89" s="261">
        <f>E88*Exchange_Rate/Dashboard!G3</f>
        <v>8.2644628099173556E-3</v>
      </c>
      <c r="F89" s="209"/>
      <c r="H89" s="261">
        <f>H88*Exchange_Rate/Dashboard!G3</f>
        <v>8.2644628099173556E-3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210.46663349980022</v>
      </c>
      <c r="H93" s="87" t="s">
        <v>209</v>
      </c>
      <c r="I93" s="144">
        <f>FV(H87,D93,0,-(H86/(C93-D94)))*Exchange_Rate</f>
        <v>210.46663349980022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53.47679071800448</v>
      </c>
      <c r="H94" s="87" t="s">
        <v>210</v>
      </c>
      <c r="I94" s="144">
        <f>FV(H89,D93,0,-(H88/(C93-D94)))*Exchange_Rate</f>
        <v>53.47679071800448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969733.28207666997</v>
      </c>
      <c r="D97" s="213"/>
      <c r="E97" s="123">
        <f>PV(C94,D93,0,-F93)</f>
        <v>104.63911373265236</v>
      </c>
      <c r="F97" s="213"/>
      <c r="H97" s="123">
        <f>PV(C94,D93,0,-I93)</f>
        <v>104.63911373265236</v>
      </c>
      <c r="I97" s="123">
        <f>PV(C93,D93,0,-I93)</f>
        <v>139.16637250460209</v>
      </c>
      <c r="K97" s="24"/>
    </row>
    <row r="98" spans="2:11" ht="15" customHeight="1" x14ac:dyDescent="0.4">
      <c r="B98" s="28" t="s">
        <v>144</v>
      </c>
      <c r="C98" s="91">
        <f>-E53*Exchange_Rate</f>
        <v>-275038.29877091164</v>
      </c>
      <c r="D98" s="213"/>
      <c r="E98" s="213"/>
      <c r="F98" s="213"/>
      <c r="H98" s="123">
        <f>C98*Data!$C$4/Common_Shares</f>
        <v>-29.678020088465139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694694.98330575833</v>
      </c>
      <c r="D100" s="109">
        <f>MIN(F100*(1-C94),E100)</f>
        <v>63.716929597559144</v>
      </c>
      <c r="E100" s="109">
        <f>MAX(E97+H98+E99,0)</f>
        <v>74.96109364418723</v>
      </c>
      <c r="F100" s="109">
        <f>(E100+H100)/2</f>
        <v>74.96109364418723</v>
      </c>
      <c r="H100" s="109">
        <f>MAX(C100*Data!$C$4/Common_Shares,0)</f>
        <v>74.961093644187216</v>
      </c>
      <c r="I100" s="109">
        <f>MAX(I97+H98+H99,0)</f>
        <v>109.48835241613696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246396.41408027231</v>
      </c>
      <c r="D103" s="109">
        <f>MIN(F103*(1-C94),E103)</f>
        <v>22.599303789896254</v>
      </c>
      <c r="E103" s="123">
        <f>PV(C94,D93,0,-F94)</f>
        <v>26.587416223407359</v>
      </c>
      <c r="F103" s="109">
        <f>(E103+H103)/2</f>
        <v>26.587416223407359</v>
      </c>
      <c r="H103" s="123">
        <f>PV(C94,D93,0,-I94)</f>
        <v>26.587416223407359</v>
      </c>
      <c r="I103" s="109">
        <f>PV(C93,D93,0,-I94)</f>
        <v>35.360336475470461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470545.69869301538</v>
      </c>
      <c r="D106" s="109">
        <f>(D100+D103)/2</f>
        <v>43.158116693727699</v>
      </c>
      <c r="E106" s="123">
        <f>(E100+E103)/2</f>
        <v>50.774254933797295</v>
      </c>
      <c r="F106" s="109">
        <f>(F100+F103)/2</f>
        <v>50.774254933797295</v>
      </c>
      <c r="H106" s="123">
        <f>(H100+H103)/2</f>
        <v>50.774254933797287</v>
      </c>
      <c r="I106" s="123">
        <f>(I100+I103)/2</f>
        <v>72.424344445803712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