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384A6F69-8561-42C0-B41C-6C0DFA36D660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/>
  <c r="F95" i="4"/>
  <c r="E95" i="4"/>
  <c r="F94" i="4"/>
  <c r="F93" i="4"/>
  <c r="F91" i="4"/>
  <c r="F92" i="4" s="1"/>
  <c r="E91" i="4"/>
  <c r="E93" i="4" s="1"/>
  <c r="D69" i="4"/>
  <c r="D68" i="4"/>
  <c r="D67" i="4"/>
  <c r="D63" i="4"/>
  <c r="D62" i="4"/>
  <c r="D61" i="4"/>
  <c r="D60" i="4"/>
  <c r="D59" i="4"/>
  <c r="D58" i="4"/>
  <c r="D71" i="4" s="1"/>
  <c r="D55" i="4"/>
  <c r="D50" i="4"/>
  <c r="D53" i="4" s="1"/>
  <c r="M52" i="2"/>
  <c r="F96" i="4" l="1"/>
  <c r="E92" i="4"/>
  <c r="F97" i="4"/>
  <c r="D56" i="4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D33" i="2" l="1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G52" i="2" s="1"/>
  <c r="I6" i="2"/>
  <c r="H52" i="2" s="1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E52" i="2" s="1"/>
  <c r="J6" i="2"/>
  <c r="I52" i="2" s="1"/>
  <c r="K6" i="2"/>
  <c r="J52" i="2" s="1"/>
  <c r="L6" i="2"/>
  <c r="K52" i="2" s="1"/>
  <c r="M6" i="2"/>
  <c r="L52" i="2" s="1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F52" i="2" l="1"/>
  <c r="D52" i="2"/>
  <c r="C52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H103" i="3" l="1"/>
  <c r="I103" i="3"/>
  <c r="D93" i="4"/>
  <c r="D97" i="4"/>
  <c r="D92" i="4"/>
  <c r="C22" i="2"/>
  <c r="F3" i="2"/>
  <c r="H22" i="2"/>
  <c r="M13" i="2"/>
  <c r="F15" i="2"/>
  <c r="H15" i="2"/>
  <c r="G15" i="2"/>
  <c r="C15" i="2"/>
  <c r="H74" i="3" s="1"/>
  <c r="D55" i="2"/>
  <c r="G56" i="2"/>
  <c r="D15" i="2"/>
  <c r="E15" i="2"/>
  <c r="K13" i="2"/>
  <c r="E13" i="2"/>
  <c r="L13" i="2"/>
  <c r="E40" i="2"/>
  <c r="G13" i="2"/>
  <c r="E56" i="2"/>
  <c r="D40" i="2"/>
  <c r="D13" i="2"/>
  <c r="G40" i="2"/>
  <c r="K55" i="2"/>
  <c r="L24" i="2"/>
  <c r="L23" i="2" s="1"/>
  <c r="M56" i="2"/>
  <c r="M55" i="2"/>
  <c r="H75" i="3" l="1"/>
  <c r="H77" i="3"/>
  <c r="E74" i="3"/>
  <c r="H78" i="3"/>
  <c r="I15" i="2"/>
  <c r="J56" i="2"/>
  <c r="J13" i="2"/>
  <c r="H40" i="2"/>
  <c r="H13" i="2"/>
  <c r="H56" i="2"/>
  <c r="F40" i="2"/>
  <c r="F13" i="2"/>
  <c r="F56" i="2"/>
  <c r="I13" i="2"/>
  <c r="I56" i="2"/>
  <c r="C13" i="2"/>
  <c r="K56" i="2"/>
  <c r="L56" i="2"/>
  <c r="L55" i="2"/>
  <c r="D56" i="2"/>
  <c r="G55" i="2"/>
  <c r="G3" i="2"/>
  <c r="C56" i="2"/>
  <c r="D48" i="2"/>
  <c r="E55" i="2"/>
  <c r="E89" i="3"/>
  <c r="F94" i="3" l="1"/>
  <c r="E103" i="3" s="1"/>
  <c r="E77" i="3"/>
  <c r="E75" i="3"/>
  <c r="J55" i="2"/>
  <c r="H55" i="2"/>
  <c r="I55" i="2"/>
  <c r="F55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4" i="2"/>
  <c r="J54" i="2"/>
  <c r="K54" i="2"/>
  <c r="L54" i="2"/>
  <c r="M54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7" i="2"/>
  <c r="E57" i="2"/>
  <c r="F57" i="2"/>
  <c r="G57" i="2"/>
  <c r="H57" i="2"/>
  <c r="I57" i="2"/>
  <c r="J57" i="2"/>
  <c r="K57" i="2"/>
  <c r="L57" i="2"/>
  <c r="M57" i="2"/>
  <c r="E54" i="2"/>
  <c r="F54" i="2"/>
  <c r="G54" i="2"/>
  <c r="C31" i="2"/>
  <c r="C32" i="2"/>
  <c r="C25" i="3"/>
  <c r="M25" i="2"/>
  <c r="D103" i="3" l="1"/>
  <c r="H54" i="2"/>
  <c r="D77" i="3"/>
  <c r="D54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5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7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98" i="3" s="1"/>
  <c r="C27" i="2"/>
  <c r="C37" i="2"/>
  <c r="C54" i="2" l="1"/>
  <c r="D6" i="3"/>
  <c r="H98" i="3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I97" i="3"/>
  <c r="I100" i="3" s="1"/>
  <c r="C106" i="3"/>
  <c r="C100" i="3" l="1"/>
  <c r="H100" i="3" s="1"/>
  <c r="I106" i="3"/>
  <c r="G29" i="1"/>
  <c r="D29" i="1" s="1"/>
  <c r="H106" i="3" l="1"/>
  <c r="F100" i="3"/>
  <c r="F106" i="3" s="1"/>
  <c r="F29" i="1" s="1"/>
  <c r="D100" i="3" l="1"/>
  <c r="D106" i="3" s="1"/>
  <c r="C29" i="1" l="1"/>
</calcChain>
</file>

<file path=xl/sharedStrings.xml><?xml version="1.0" encoding="utf-8"?>
<sst xmlns="http://schemas.openxmlformats.org/spreadsheetml/2006/main" count="391" uniqueCount="272">
  <si>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</si>
  <si>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</si>
  <si>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</si>
  <si>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</si>
  <si>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</si>
  <si>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</si>
  <si>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</si>
  <si>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</si>
  <si>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</si>
  <si>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</si>
  <si>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</si>
  <si>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</si>
  <si>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</si>
  <si>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</si>
  <si>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</si>
  <si>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</si>
  <si>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</si>
  <si>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</si>
  <si>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</si>
  <si>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</si>
  <si>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</si>
  <si>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</si>
  <si>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</si>
  <si>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</si>
  <si>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</si>
  <si>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</si>
  <si>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</si>
  <si>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</si>
  <si>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</si>
  <si>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</si>
  <si>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</si>
  <si>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</si>
  <si>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</si>
  <si>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</si>
  <si>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</si>
  <si>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</si>
  <si>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</si>
  <si>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</si>
  <si>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</si>
  <si>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</si>
  <si>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</si>
  <si>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</si>
  <si>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</si>
  <si>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</si>
  <si>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</si>
  <si>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</si>
  <si>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</si>
  <si>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</si>
  <si>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</si>
  <si>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</si>
  <si>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</si>
  <si>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</si>
  <si>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</si>
  <si>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</si>
  <si>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</si>
  <si>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</si>
  <si>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</si>
  <si>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</si>
  <si>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</si>
  <si>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</si>
  <si>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</si>
  <si>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</si>
  <si>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</si>
  <si>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</si>
  <si>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</si>
  <si>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</si>
  <si>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</si>
  <si>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</si>
  <si>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</si>
  <si>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</si>
  <si>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</si>
  <si>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</si>
  <si>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</si>
  <si>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</si>
  <si>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</si>
  <si>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</si>
  <si>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</si>
  <si>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</si>
  <si>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</si>
  <si>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</si>
  <si>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</si>
  <si>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</si>
  <si>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</si>
  <si>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</si>
  <si>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</si>
  <si>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</si>
  <si>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</si>
  <si>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</si>
  <si>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</si>
  <si>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</si>
  <si>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</si>
  <si>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</si>
  <si>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</si>
  <si>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</si>
  <si>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</si>
  <si>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</si>
  <si>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</si>
  <si>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</si>
  <si>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</si>
  <si>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</si>
  <si>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</si>
  <si>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</si>
  <si>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</si>
  <si>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</si>
  <si>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</si>
  <si>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</si>
  <si>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</si>
  <si>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</si>
  <si>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</si>
  <si>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</si>
  <si>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</si>
  <si>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</si>
  <si>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</si>
  <si>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</si>
  <si>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</si>
  <si>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</si>
  <si>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</si>
  <si>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</si>
  <si>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</si>
  <si>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</si>
  <si>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</si>
  <si>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</si>
  <si>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</si>
  <si>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</si>
  <si>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</si>
  <si>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</si>
  <si>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</si>
  <si>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</si>
  <si>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</si>
  <si>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</si>
  <si>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</si>
  <si>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</si>
  <si>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</si>
  <si>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</si>
  <si>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</si>
  <si>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</si>
  <si>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</si>
  <si>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</si>
  <si>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</si>
  <si>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</si>
  <si>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</si>
  <si>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</si>
  <si>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</si>
  <si>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</si>
  <si>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</si>
  <si>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</si>
  <si>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</si>
  <si>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</si>
  <si>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</si>
  <si>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</si>
  <si>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</si>
  <si>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</si>
  <si>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</si>
  <si>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</si>
  <si>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</si>
  <si>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</si>
  <si>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</si>
  <si>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</si>
  <si>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</si>
  <si>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</si>
  <si>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</si>
  <si>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</si>
  <si>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</si>
  <si>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</si>
  <si>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</si>
  <si>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</si>
  <si>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</si>
  <si>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</si>
  <si>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</si>
  <si>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</si>
  <si>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</si>
  <si>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</si>
  <si>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</si>
  <si>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</si>
  <si>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</si>
  <si>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</si>
  <si>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</si>
  <si>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</si>
  <si>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</si>
  <si>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</si>
  <si>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</si>
  <si>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</si>
  <si>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</si>
  <si>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</si>
  <si>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</si>
  <si>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</si>
  <si>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</si>
  <si>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</si>
  <si>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</si>
  <si>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</si>
  <si>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</si>
  <si>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</si>
  <si>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</si>
  <si>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</si>
  <si>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</si>
  <si>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</si>
  <si>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</si>
  <si>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</si>
  <si>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</si>
  <si>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</si>
  <si>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</si>
  <si>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</si>
  <si>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</si>
  <si>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</si>
  <si>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</si>
  <si>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</si>
  <si>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</si>
  <si>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</si>
  <si>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</si>
  <si>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</si>
  <si>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</si>
  <si>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</si>
  <si>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</si>
  <si>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</si>
  <si>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</si>
  <si>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</si>
  <si>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</si>
  <si>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</si>
  <si>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</si>
  <si>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</si>
  <si>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</si>
  <si>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</si>
  <si>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</si>
  <si>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</si>
  <si>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</si>
  <si>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</si>
  <si>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</si>
  <si>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</si>
  <si>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</si>
  <si>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</si>
  <si>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</si>
  <si>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</si>
  <si>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</si>
  <si>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</si>
  <si>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</si>
  <si>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</si>
  <si>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</si>
  <si>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</si>
  <si>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</si>
  <si>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</si>
  <si>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</si>
  <si>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</si>
  <si>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</si>
  <si>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</si>
  <si>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</si>
  <si>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</si>
  <si>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</si>
  <si>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</si>
  <si>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</si>
  <si>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</si>
  <si>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</si>
  <si>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</si>
  <si>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</si>
  <si>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</si>
  <si>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</si>
  <si>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</si>
  <si>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</si>
  <si>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</si>
  <si>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</si>
  <si>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</si>
  <si>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</si>
  <si>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</si>
  <si>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</si>
  <si>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</si>
  <si>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0710.HK</t>
  </si>
  <si>
    <t>京东方精电</t>
  </si>
  <si>
    <t>C0006</t>
  </si>
  <si>
    <t>CNY</t>
  </si>
  <si>
    <t>Strongly agree</t>
  </si>
  <si>
    <t>agree</t>
  </si>
  <si>
    <t>Consumer Monopoly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</si>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</sst>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0.8649634921177769</c:v>
                </c:pt>
                <c:pt idx="1">
                  <c:v>0.14930937614307849</c:v>
                </c:pt>
                <c:pt idx="2">
                  <c:v>7.2128562067984476E-4</c:v>
                </c:pt>
                <c:pt idx="3">
                  <c:v>0</c:v>
                </c:pt>
                <c:pt idx="4">
                  <c:v>2.3437755566327548E-3</c:v>
                </c:pt>
                <c:pt idx="5">
                  <c:v>2.8284501268352451E-2</c:v>
                </c:pt>
                <c:pt idx="6">
                  <c:v>-4.5622430706520396E-2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8" t="s">
        <v>264</v>
      </c>
    </row>
    <row r="5" spans="1:5" ht="13.9" x14ac:dyDescent="0.4">
      <c r="B5" s="141" t="s">
        <v>195</v>
      </c>
      <c r="C5" s="191" t="s">
        <v>265</v>
      </c>
    </row>
    <row r="6" spans="1:5" ht="13.9" x14ac:dyDescent="0.4">
      <c r="B6" s="141" t="s">
        <v>163</v>
      </c>
      <c r="C6" s="189">
        <v>45593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215</v>
      </c>
      <c r="C8" s="191" t="s">
        <v>70</v>
      </c>
      <c r="E8" s="267"/>
    </row>
    <row r="9" spans="1:5" ht="13.9" x14ac:dyDescent="0.4">
      <c r="B9" s="140" t="s">
        <v>216</v>
      </c>
      <c r="C9" s="192" t="s">
        <v>266</v>
      </c>
    </row>
    <row r="10" spans="1:5" ht="13.9" x14ac:dyDescent="0.4">
      <c r="B10" s="140" t="s">
        <v>217</v>
      </c>
      <c r="C10" s="193">
        <v>791575204</v>
      </c>
    </row>
    <row r="11" spans="1:5" ht="13.9" x14ac:dyDescent="0.4">
      <c r="B11" s="140" t="s">
        <v>218</v>
      </c>
      <c r="C11" s="192" t="s">
        <v>267</v>
      </c>
    </row>
    <row r="12" spans="1:5" ht="13.9" x14ac:dyDescent="0.4">
      <c r="B12" s="218" t="s">
        <v>9</v>
      </c>
      <c r="C12" s="219">
        <v>45291</v>
      </c>
    </row>
    <row r="13" spans="1:5" ht="13.9" x14ac:dyDescent="0.4">
      <c r="B13" s="218" t="s">
        <v>10</v>
      </c>
      <c r="C13" s="220">
        <v>1000</v>
      </c>
    </row>
    <row r="14" spans="1:5" ht="13.9" x14ac:dyDescent="0.4">
      <c r="B14" s="218" t="s">
        <v>219</v>
      </c>
      <c r="C14" s="219">
        <v>45473</v>
      </c>
    </row>
    <row r="15" spans="1:5" ht="13.9" x14ac:dyDescent="0.4">
      <c r="B15" s="218" t="s">
        <v>256</v>
      </c>
      <c r="C15" s="176" t="s">
        <v>260</v>
      </c>
    </row>
    <row r="16" spans="1:5" ht="13.9" x14ac:dyDescent="0.4">
      <c r="B16" s="222" t="s">
        <v>96</v>
      </c>
      <c r="C16" s="223">
        <v>0.25</v>
      </c>
      <c r="D16" s="24"/>
    </row>
    <row r="17" spans="2:13" ht="13.9" x14ac:dyDescent="0.4">
      <c r="B17" s="240" t="s">
        <v>224</v>
      </c>
      <c r="C17" s="242" t="s">
        <v>268</v>
      </c>
      <c r="D17" s="24"/>
    </row>
    <row r="18" spans="2:13" ht="13.9" x14ac:dyDescent="0.4">
      <c r="B18" s="240" t="s">
        <v>238</v>
      </c>
      <c r="C18" s="242" t="s">
        <v>245</v>
      </c>
      <c r="D18" s="24"/>
    </row>
    <row r="19" spans="2:13" ht="13.9" x14ac:dyDescent="0.4">
      <c r="B19" s="240" t="s">
        <v>239</v>
      </c>
      <c r="C19" s="242" t="s">
        <v>269</v>
      </c>
      <c r="D19" s="24"/>
    </row>
    <row r="20" spans="2:13" ht="13.9" x14ac:dyDescent="0.4">
      <c r="B20" s="241" t="s">
        <v>228</v>
      </c>
      <c r="C20" s="242" t="s">
        <v>269</v>
      </c>
      <c r="D20" s="24"/>
    </row>
    <row r="21" spans="2:13" ht="13.9" x14ac:dyDescent="0.4">
      <c r="B21" s="224" t="s">
        <v>231</v>
      </c>
      <c r="C21" s="242" t="s">
        <v>268</v>
      </c>
      <c r="D21" s="24"/>
    </row>
    <row r="22" spans="2:13" ht="78.75" x14ac:dyDescent="0.4">
      <c r="B22" s="226" t="s">
        <v>230</v>
      </c>
      <c r="C22" s="243" t="s">
        <v>270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9">
        <v>10760416</v>
      </c>
      <c r="D25" s="149">
        <v>10722361</v>
      </c>
      <c r="E25" s="149">
        <v>7737943</v>
      </c>
      <c r="F25" s="149">
        <v>4526914</v>
      </c>
      <c r="G25" s="149">
        <v>3573978</v>
      </c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105</v>
      </c>
      <c r="C26" s="150">
        <v>9307367</v>
      </c>
      <c r="D26" s="150">
        <v>9290616</v>
      </c>
      <c r="E26" s="150">
        <v>7340712</v>
      </c>
      <c r="F26" s="150">
        <v>4204600</v>
      </c>
      <c r="G26" s="150">
        <v>3214958</v>
      </c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103</v>
      </c>
      <c r="C27" s="150">
        <v>1606631</v>
      </c>
      <c r="D27" s="150">
        <v>1290315</v>
      </c>
      <c r="E27" s="150">
        <v>359473</v>
      </c>
      <c r="F27" s="150">
        <v>228660</v>
      </c>
      <c r="G27" s="150">
        <v>271638</v>
      </c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106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257</v>
      </c>
      <c r="C29" s="150">
        <v>25220</v>
      </c>
      <c r="D29" s="150">
        <v>12361</v>
      </c>
      <c r="E29" s="150">
        <v>915</v>
      </c>
      <c r="F29" s="150">
        <v>578</v>
      </c>
      <c r="G29" s="150">
        <v>538</v>
      </c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110</v>
      </c>
      <c r="C30" s="150">
        <v>5821</v>
      </c>
      <c r="D30" s="150">
        <v>22881</v>
      </c>
      <c r="E30" s="150">
        <v>313201</v>
      </c>
      <c r="F30" s="150">
        <v>57218</v>
      </c>
      <c r="G30" s="150">
        <v>0</v>
      </c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109</v>
      </c>
      <c r="C31" s="150">
        <v>-563737</v>
      </c>
      <c r="D31" s="150">
        <v>193859</v>
      </c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104</v>
      </c>
      <c r="C32" s="150">
        <v>202110</v>
      </c>
      <c r="D32" s="150">
        <v>165770</v>
      </c>
      <c r="E32" s="150">
        <v>247000</v>
      </c>
      <c r="F32" s="150">
        <v>56000</v>
      </c>
      <c r="G32" s="150">
        <v>69000</v>
      </c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107</v>
      </c>
      <c r="C33" s="150">
        <v>506463</v>
      </c>
      <c r="D33" s="150">
        <v>1177151</v>
      </c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14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116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148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15</v>
      </c>
      <c r="C37" s="217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115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137</v>
      </c>
      <c r="C41" s="217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138</v>
      </c>
      <c r="C42" s="217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136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207</v>
      </c>
      <c r="C44" s="250">
        <v>0.15820000000000001</v>
      </c>
      <c r="D44" s="250"/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253</v>
      </c>
      <c r="C45" s="152">
        <f>IF(C44="","",C44*Exchange_Rate/Dashboard!$G$3)</f>
        <v>2.6166835212019655E-2</v>
      </c>
      <c r="D45" s="152" t="str">
        <f>IF(D44="","",D44*Exchange_Rate/Dashboard!$G$3)</f>
        <v/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249</v>
      </c>
      <c r="C47" s="194" t="s">
        <v>33</v>
      </c>
      <c r="D47" s="194" t="s">
        <v>196</v>
      </c>
      <c r="E47" s="111" t="s">
        <v>35</v>
      </c>
    </row>
    <row r="48" spans="2:13" ht="13.9" x14ac:dyDescent="0.4">
      <c r="B48" s="3" t="s">
        <v>37</v>
      </c>
      <c r="C48" s="59">
        <v>3496104</v>
      </c>
      <c r="D48" s="60">
        <v>0.9</v>
      </c>
      <c r="E48" s="112"/>
    </row>
    <row r="49" spans="2:5" ht="13.9" x14ac:dyDescent="0.4">
      <c r="B49" s="1" t="s">
        <v>135</v>
      </c>
      <c r="C49" s="59">
        <v>41635</v>
      </c>
      <c r="D49" s="60">
        <v>0.8</v>
      </c>
      <c r="E49" s="112"/>
    </row>
    <row r="50" spans="2:5" ht="13.9" x14ac:dyDescent="0.4">
      <c r="B50" s="3" t="s">
        <v>116</v>
      </c>
      <c r="C50" s="59">
        <v>2820142</v>
      </c>
      <c r="D50" s="60">
        <f>D51</f>
        <v>0.6</v>
      </c>
      <c r="E50" s="112"/>
    </row>
    <row r="51" spans="2:5" ht="13.9" x14ac:dyDescent="0.4">
      <c r="B51" s="3" t="s">
        <v>41</v>
      </c>
      <c r="C51" s="59">
        <v>405832</v>
      </c>
      <c r="D51" s="60">
        <v>0.6</v>
      </c>
      <c r="E51" s="112"/>
    </row>
    <row r="52" spans="2:5" ht="13.9" x14ac:dyDescent="0.4">
      <c r="B52" s="3" t="s">
        <v>43</v>
      </c>
      <c r="C52" s="59">
        <v>0</v>
      </c>
      <c r="D52" s="60">
        <v>0.5</v>
      </c>
      <c r="E52" s="112"/>
    </row>
    <row r="53" spans="2:5" ht="13.9" x14ac:dyDescent="0.4">
      <c r="B53" s="1" t="s">
        <v>158</v>
      </c>
      <c r="C53" s="59">
        <v>0</v>
      </c>
      <c r="D53" s="60">
        <f>D50</f>
        <v>0.6</v>
      </c>
      <c r="E53" s="112"/>
    </row>
    <row r="54" spans="2:5" ht="13.9" x14ac:dyDescent="0.4">
      <c r="B54" s="3" t="s">
        <v>262</v>
      </c>
      <c r="C54" s="59">
        <v>0</v>
      </c>
      <c r="D54" s="60">
        <v>0.1</v>
      </c>
      <c r="E54" s="112"/>
    </row>
    <row r="55" spans="2:5" ht="13.9" x14ac:dyDescent="0.4">
      <c r="B55" s="3" t="s">
        <v>46</v>
      </c>
      <c r="C55" s="59">
        <v>1802858</v>
      </c>
      <c r="D55" s="60">
        <f>D52</f>
        <v>0.5</v>
      </c>
      <c r="E55" s="112"/>
    </row>
    <row r="56" spans="2:5" ht="13.9" x14ac:dyDescent="0.4">
      <c r="B56" s="1" t="s">
        <v>47</v>
      </c>
      <c r="C56" s="59">
        <v>0</v>
      </c>
      <c r="D56" s="60">
        <f>D50</f>
        <v>0.6</v>
      </c>
      <c r="E56" s="221" t="s">
        <v>70</v>
      </c>
    </row>
    <row r="57" spans="2:5" ht="13.9" x14ac:dyDescent="0.4">
      <c r="B57" s="3" t="s">
        <v>119</v>
      </c>
      <c r="C57" s="59">
        <v>0</v>
      </c>
      <c r="D57" s="60">
        <v>0.6</v>
      </c>
      <c r="E57" s="221" t="s">
        <v>45</v>
      </c>
    </row>
    <row r="58" spans="2:5" ht="13.9" x14ac:dyDescent="0.4">
      <c r="B58" s="3" t="s">
        <v>49</v>
      </c>
      <c r="C58" s="59">
        <v>5684</v>
      </c>
      <c r="D58" s="60">
        <f>D48</f>
        <v>0.9</v>
      </c>
      <c r="E58" s="112"/>
    </row>
    <row r="59" spans="2:5" ht="13.9" x14ac:dyDescent="0.4">
      <c r="B59" s="35" t="s">
        <v>50</v>
      </c>
      <c r="C59" s="120">
        <v>0</v>
      </c>
      <c r="D59" s="195">
        <f>D70</f>
        <v>0.05</v>
      </c>
      <c r="E59" s="112"/>
    </row>
    <row r="60" spans="2:5" ht="13.9" x14ac:dyDescent="0.4">
      <c r="B60" s="3" t="s">
        <v>60</v>
      </c>
      <c r="C60" s="59">
        <v>0</v>
      </c>
      <c r="D60" s="60">
        <f>D49</f>
        <v>0.8</v>
      </c>
      <c r="E60" s="112"/>
    </row>
    <row r="61" spans="2:5" ht="13.9" x14ac:dyDescent="0.4">
      <c r="B61" s="3" t="s">
        <v>62</v>
      </c>
      <c r="C61" s="59">
        <v>41883</v>
      </c>
      <c r="D61" s="60">
        <f>D51</f>
        <v>0.6</v>
      </c>
      <c r="E61" s="112"/>
    </row>
    <row r="62" spans="2:5" ht="13.9" x14ac:dyDescent="0.4">
      <c r="B62" s="3" t="s">
        <v>64</v>
      </c>
      <c r="C62" s="59">
        <v>0</v>
      </c>
      <c r="D62" s="60">
        <f>D52</f>
        <v>0.5</v>
      </c>
      <c r="E62" s="112"/>
    </row>
    <row r="63" spans="2:5" ht="13.9" x14ac:dyDescent="0.4">
      <c r="B63" s="1" t="s">
        <v>159</v>
      </c>
      <c r="C63" s="59">
        <v>0</v>
      </c>
      <c r="D63" s="60">
        <f>D62</f>
        <v>0.5</v>
      </c>
      <c r="E63" s="112"/>
    </row>
    <row r="64" spans="2:5" ht="13.9" x14ac:dyDescent="0.4">
      <c r="B64" s="3" t="s">
        <v>261</v>
      </c>
      <c r="C64" s="59">
        <v>0</v>
      </c>
      <c r="D64" s="60">
        <v>0.4</v>
      </c>
      <c r="E64" s="112"/>
    </row>
    <row r="65" spans="2:5" ht="13.9" x14ac:dyDescent="0.4">
      <c r="B65" s="3" t="s">
        <v>69</v>
      </c>
      <c r="C65" s="59">
        <v>0</v>
      </c>
      <c r="D65" s="60">
        <v>0.1</v>
      </c>
      <c r="E65" s="221" t="s">
        <v>70</v>
      </c>
    </row>
    <row r="66" spans="2:5" ht="13.9" x14ac:dyDescent="0.4">
      <c r="B66" s="3" t="s">
        <v>71</v>
      </c>
      <c r="C66" s="59">
        <v>0</v>
      </c>
      <c r="D66" s="60">
        <v>0.2</v>
      </c>
      <c r="E66" s="221" t="s">
        <v>70</v>
      </c>
    </row>
    <row r="67" spans="2:5" ht="13.9" x14ac:dyDescent="0.4">
      <c r="B67" s="1" t="s">
        <v>48</v>
      </c>
      <c r="C67" s="59">
        <v>0</v>
      </c>
      <c r="D67" s="60">
        <f>D65</f>
        <v>0.1</v>
      </c>
      <c r="E67" s="221" t="s">
        <v>45</v>
      </c>
    </row>
    <row r="68" spans="2:5" ht="13.9" x14ac:dyDescent="0.4">
      <c r="B68" s="3" t="s">
        <v>118</v>
      </c>
      <c r="C68" s="59">
        <v>2128034</v>
      </c>
      <c r="D68" s="60">
        <f>D65</f>
        <v>0.1</v>
      </c>
      <c r="E68" s="112"/>
    </row>
    <row r="69" spans="2:5" ht="13.9" x14ac:dyDescent="0.4">
      <c r="B69" s="3" t="s">
        <v>72</v>
      </c>
      <c r="C69" s="59">
        <v>0</v>
      </c>
      <c r="D69" s="60">
        <f>D70</f>
        <v>0.05</v>
      </c>
      <c r="E69" s="112"/>
    </row>
    <row r="70" spans="2:5" ht="13.9" x14ac:dyDescent="0.4">
      <c r="B70" s="3" t="s">
        <v>73</v>
      </c>
      <c r="C70" s="59">
        <v>27391</v>
      </c>
      <c r="D70" s="60">
        <v>0.05</v>
      </c>
      <c r="E70" s="112"/>
    </row>
    <row r="71" spans="2:5" ht="13.9" x14ac:dyDescent="0.4">
      <c r="B71" s="3" t="s">
        <v>74</v>
      </c>
      <c r="C71" s="59">
        <v>38865</v>
      </c>
      <c r="D71" s="60">
        <f>D58</f>
        <v>0.9</v>
      </c>
      <c r="E71" s="112"/>
    </row>
    <row r="72" spans="2:5" ht="14.25" thickBot="1" x14ac:dyDescent="0.45">
      <c r="B72" s="246" t="s">
        <v>75</v>
      </c>
      <c r="C72" s="247">
        <v>0</v>
      </c>
      <c r="D72" s="248">
        <v>0</v>
      </c>
      <c r="E72" s="249"/>
    </row>
    <row r="73" spans="2:5" ht="13.9" x14ac:dyDescent="0.4">
      <c r="B73" s="3" t="s">
        <v>38</v>
      </c>
      <c r="C73" s="59">
        <v>174488</v>
      </c>
    </row>
    <row r="74" spans="2:5" ht="13.9" x14ac:dyDescent="0.4">
      <c r="B74" s="3" t="s">
        <v>39</v>
      </c>
      <c r="C74" s="59">
        <v>11884</v>
      </c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/>
    </row>
    <row r="77" spans="2:5" ht="14.25" thickBot="1" x14ac:dyDescent="0.45">
      <c r="B77" s="80" t="s">
        <v>15</v>
      </c>
      <c r="C77" s="83">
        <v>5753095</v>
      </c>
    </row>
    <row r="78" spans="2:5" ht="14.25" thickTop="1" x14ac:dyDescent="0.4">
      <c r="B78" s="3" t="s">
        <v>61</v>
      </c>
      <c r="C78" s="59">
        <v>432202</v>
      </c>
    </row>
    <row r="79" spans="2:5" ht="13.9" x14ac:dyDescent="0.4">
      <c r="B79" s="3" t="s">
        <v>63</v>
      </c>
      <c r="C79" s="59">
        <v>17265</v>
      </c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>
        <v>638511</v>
      </c>
    </row>
    <row r="83" spans="2:8" ht="14.25" thickTop="1" x14ac:dyDescent="0.4">
      <c r="B83" s="73" t="s">
        <v>220</v>
      </c>
      <c r="C83" s="59">
        <v>4357429</v>
      </c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250</v>
      </c>
      <c r="C86" s="197">
        <v>5</v>
      </c>
    </row>
    <row r="87" spans="2:8" ht="13.9" x14ac:dyDescent="0.4">
      <c r="B87" s="10" t="s">
        <v>248</v>
      </c>
      <c r="C87" s="236" t="s">
        <v>251</v>
      </c>
      <c r="D87" s="269">
        <v>0.02</v>
      </c>
    </row>
    <row r="89" spans="2:8" ht="13.5" x14ac:dyDescent="0.35">
      <c r="B89" s="106" t="s">
        <v>127</v>
      </c>
      <c r="C89" s="271">
        <f>C24</f>
        <v>45291</v>
      </c>
      <c r="D89" s="271"/>
      <c r="E89" s="89" t="s">
        <v>206</v>
      </c>
      <c r="F89" s="89" t="s">
        <v>205</v>
      </c>
      <c r="H89" s="31"/>
    </row>
    <row r="90" spans="2:8" ht="13.9" x14ac:dyDescent="0.4">
      <c r="B90" s="12" t="str">
        <f>"(Numbers in "&amp;Data!C4&amp;Dashboard!G6&amp;")"</f>
        <v>(Numbers in 1000CNY)</v>
      </c>
      <c r="C90" s="272" t="s">
        <v>100</v>
      </c>
      <c r="D90" s="272"/>
      <c r="E90" s="235" t="s">
        <v>101</v>
      </c>
      <c r="F90" s="255" t="s">
        <v>101</v>
      </c>
    </row>
    <row r="91" spans="2:8" ht="13.9" x14ac:dyDescent="0.4">
      <c r="B91" s="3" t="s">
        <v>126</v>
      </c>
      <c r="C91" s="77">
        <f>C25</f>
        <v>10760416</v>
      </c>
      <c r="D91" s="209"/>
      <c r="E91" s="251">
        <f>C91</f>
        <v>10760416</v>
      </c>
      <c r="F91" s="251">
        <f>C91</f>
        <v>10760416</v>
      </c>
    </row>
    <row r="92" spans="2:8" ht="13.9" x14ac:dyDescent="0.4">
      <c r="B92" s="104" t="s">
        <v>105</v>
      </c>
      <c r="C92" s="77">
        <f>C26</f>
        <v>9307367</v>
      </c>
      <c r="D92" s="159">
        <f>C92/C91</f>
        <v>0.8649634921177769</v>
      </c>
      <c r="E92" s="252">
        <f>E91*D92</f>
        <v>9307367</v>
      </c>
      <c r="F92" s="252">
        <f>F91*D92</f>
        <v>9307367</v>
      </c>
    </row>
    <row r="93" spans="2:8" ht="13.9" x14ac:dyDescent="0.4">
      <c r="B93" s="104" t="s">
        <v>247</v>
      </c>
      <c r="C93" s="77">
        <f>C27+C28</f>
        <v>1606631</v>
      </c>
      <c r="D93" s="159">
        <f>C93/C91</f>
        <v>0.14930937614307849</v>
      </c>
      <c r="E93" s="252">
        <f>E91*D93</f>
        <v>1606631</v>
      </c>
      <c r="F93" s="252">
        <f>F91*D93</f>
        <v>1606631</v>
      </c>
    </row>
    <row r="94" spans="2:8" ht="13.9" x14ac:dyDescent="0.4">
      <c r="B94" s="104" t="s">
        <v>257</v>
      </c>
      <c r="C94" s="77">
        <f>C29</f>
        <v>25220</v>
      </c>
      <c r="D94" s="159">
        <f>C94/C91</f>
        <v>2.3437755566327548E-3</v>
      </c>
      <c r="E94" s="253"/>
      <c r="F94" s="252">
        <f>F91*D94</f>
        <v>25220</v>
      </c>
    </row>
    <row r="95" spans="2:8" ht="13.9" x14ac:dyDescent="0.4">
      <c r="B95" s="28" t="s">
        <v>246</v>
      </c>
      <c r="C95" s="77">
        <f>ABS(MAX(C33,0)-C32)</f>
        <v>304353</v>
      </c>
      <c r="D95" s="159">
        <f>C95/C91</f>
        <v>2.8284501268352451E-2</v>
      </c>
      <c r="E95" s="252">
        <f>E91*D95</f>
        <v>304353</v>
      </c>
      <c r="F95" s="252">
        <f>F91*D95</f>
        <v>304353</v>
      </c>
    </row>
    <row r="96" spans="2:8" ht="13.9" x14ac:dyDescent="0.4">
      <c r="B96" s="28" t="s">
        <v>109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172</v>
      </c>
      <c r="C97" s="77">
        <f>MAX(C30,0)/(1-C16)</f>
        <v>7761.333333333333</v>
      </c>
      <c r="D97" s="159">
        <f>C97/C91</f>
        <v>7.2128562067984476E-4</v>
      </c>
      <c r="E97" s="253"/>
      <c r="F97" s="252">
        <f>F91*D97</f>
        <v>7761.3333333333321</v>
      </c>
    </row>
    <row r="98" spans="2:7" ht="13.9" x14ac:dyDescent="0.4">
      <c r="B98" s="86" t="s">
        <v>207</v>
      </c>
      <c r="C98" s="237">
        <f>C44</f>
        <v>0.15820000000000001</v>
      </c>
      <c r="D98" s="266"/>
      <c r="E98" s="254">
        <f>F98</f>
        <v>0.15820000000000001</v>
      </c>
      <c r="F98" s="254">
        <f>C98</f>
        <v>0.15820000000000001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0710.HK : 京东方精电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7" t="str">
        <f>Inputs!C4</f>
        <v>0710.HK</v>
      </c>
      <c r="D3" s="278"/>
      <c r="E3" s="87"/>
      <c r="F3" s="3" t="s">
        <v>1</v>
      </c>
      <c r="G3" s="132">
        <v>6.47</v>
      </c>
      <c r="H3" s="134" t="s">
        <v>271</v>
      </c>
    </row>
    <row r="4" spans="1:10" ht="15.75" customHeight="1" x14ac:dyDescent="0.4">
      <c r="B4" s="35" t="s">
        <v>195</v>
      </c>
      <c r="C4" s="279" t="str">
        <f>Inputs!C5</f>
        <v>京东方精电</v>
      </c>
      <c r="D4" s="280"/>
      <c r="E4" s="87"/>
      <c r="F4" s="3" t="s">
        <v>2</v>
      </c>
      <c r="G4" s="283">
        <f>Inputs!C10</f>
        <v>791575204</v>
      </c>
      <c r="H4" s="283"/>
      <c r="I4" s="39"/>
    </row>
    <row r="5" spans="1:10" ht="15.75" customHeight="1" x14ac:dyDescent="0.4">
      <c r="B5" s="3" t="s">
        <v>163</v>
      </c>
      <c r="C5" s="281">
        <f>Inputs!C6</f>
        <v>45593</v>
      </c>
      <c r="D5" s="282"/>
      <c r="E5" s="34"/>
      <c r="F5" s="35" t="s">
        <v>99</v>
      </c>
      <c r="G5" s="275">
        <f>G3*G4/1000000</f>
        <v>5121.4915698800005</v>
      </c>
      <c r="H5" s="275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6" t="str">
        <f>Inputs!C11</f>
        <v>CNY</v>
      </c>
      <c r="H6" s="276"/>
      <c r="I6" s="38"/>
    </row>
    <row r="7" spans="1:10" ht="15.75" customHeight="1" x14ac:dyDescent="0.4">
      <c r="B7" s="86" t="s">
        <v>192</v>
      </c>
      <c r="C7" s="187" t="str">
        <f>Inputs!C8</f>
        <v>N</v>
      </c>
      <c r="D7" s="187" t="str">
        <f>Inputs!C9</f>
        <v>C0006</v>
      </c>
      <c r="E7" s="87"/>
      <c r="F7" s="35" t="s">
        <v>5</v>
      </c>
      <c r="G7" s="133">
        <v>1.0701607068379719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2">
        <v>4.2000000000000003E-2</v>
      </c>
      <c r="F10" s="110" t="s">
        <v>182</v>
      </c>
    </row>
    <row r="11" spans="1:10" ht="15.75" customHeight="1" thickBot="1" x14ac:dyDescent="0.45">
      <c r="B11" s="122" t="s">
        <v>179</v>
      </c>
      <c r="C11" s="173">
        <v>5.2299999999999999E-2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254</v>
      </c>
      <c r="C12" s="174">
        <v>7.4999999999999997E-2</v>
      </c>
      <c r="D12" s="172">
        <v>8.0625000000000002E-2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2">
        <v>1.8100000000000002E-2</v>
      </c>
      <c r="F14" s="110" t="s">
        <v>181</v>
      </c>
    </row>
    <row r="15" spans="1:10" ht="15.75" customHeight="1" x14ac:dyDescent="0.4">
      <c r="B15" s="1" t="s">
        <v>186</v>
      </c>
      <c r="C15" s="172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3">
        <v>0.16</v>
      </c>
      <c r="D16" s="265" t="str">
        <f>Inputs!C15</f>
        <v>CN</v>
      </c>
      <c r="F16" s="110" t="s">
        <v>178</v>
      </c>
    </row>
    <row r="17" spans="1:8" ht="15.75" customHeight="1" thickTop="1" x14ac:dyDescent="0.4">
      <c r="B17" s="87" t="s">
        <v>255</v>
      </c>
      <c r="C17" s="175">
        <v>8.6249999999999993E-2</v>
      </c>
      <c r="D17" s="176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1">
        <f>Fin_Analysis!I75</f>
        <v>0.8649634921177769</v>
      </c>
      <c r="F20" s="87" t="s">
        <v>211</v>
      </c>
      <c r="G20" s="172">
        <v>0.15</v>
      </c>
    </row>
    <row r="21" spans="1:8" ht="15.75" customHeight="1" x14ac:dyDescent="0.4">
      <c r="B21" s="137" t="s">
        <v>244</v>
      </c>
      <c r="C21" s="171">
        <f>Fin_Analysis!I77</f>
        <v>0.14930937614307849</v>
      </c>
      <c r="F21" s="87"/>
      <c r="G21" s="29"/>
    </row>
    <row r="22" spans="1:8" ht="15.75" customHeight="1" x14ac:dyDescent="0.4">
      <c r="B22" s="137" t="s">
        <v>191</v>
      </c>
      <c r="C22" s="171">
        <f>Fin_Analysis!I78</f>
        <v>7.2128562067984476E-4</v>
      </c>
      <c r="F22" s="142" t="s">
        <v>184</v>
      </c>
    </row>
    <row r="23" spans="1:8" ht="15.75" customHeight="1" x14ac:dyDescent="0.4">
      <c r="B23" s="137" t="s">
        <v>171</v>
      </c>
      <c r="C23" s="171">
        <f>Fin_Analysis!I80</f>
        <v>0</v>
      </c>
      <c r="F23" s="140" t="s">
        <v>188</v>
      </c>
      <c r="G23" s="177">
        <f>G3/(Data!C36*Data!C4/Common_Shares*Exchange_Rate)</f>
        <v>1.0835215763986794</v>
      </c>
    </row>
    <row r="24" spans="1:8" ht="15.75" customHeight="1" x14ac:dyDescent="0.4">
      <c r="B24" s="137" t="s">
        <v>170</v>
      </c>
      <c r="C24" s="171">
        <f>Fin_Analysis!I81</f>
        <v>2.3437755566327548E-3</v>
      </c>
      <c r="F24" s="140" t="s">
        <v>259</v>
      </c>
      <c r="G24" s="268">
        <f>G3/(Fin_Analysis!H86*G7)</f>
        <v>-12.998065348847275</v>
      </c>
    </row>
    <row r="25" spans="1:8" ht="15.75" customHeight="1" x14ac:dyDescent="0.4">
      <c r="B25" s="137" t="s">
        <v>243</v>
      </c>
      <c r="C25" s="171">
        <f>Fin_Analysis!I82</f>
        <v>2.8284501268352451E-2</v>
      </c>
      <c r="F25" s="140" t="s">
        <v>174</v>
      </c>
      <c r="G25" s="171">
        <f>Fin_Analysis!I88</f>
        <v>-0.3401182340583494</v>
      </c>
    </row>
    <row r="26" spans="1:8" ht="15.75" customHeight="1" x14ac:dyDescent="0.4">
      <c r="B26" s="138" t="s">
        <v>173</v>
      </c>
      <c r="C26" s="171">
        <f>Fin_Analysis!I83</f>
        <v>-4.5622430706520396E-2</v>
      </c>
      <c r="F26" s="141" t="s">
        <v>193</v>
      </c>
      <c r="G26" s="178">
        <f>Fin_Analysis!H88*Exchange_Rate/G3</f>
        <v>2.6166835212019655E-2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3" t="s">
        <v>258</v>
      </c>
      <c r="H28" s="273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0</v>
      </c>
      <c r="D29" s="129">
        <f>G29*(1+G20)</f>
        <v>0</v>
      </c>
      <c r="E29" s="87"/>
      <c r="F29" s="131">
        <f>IF(Fin_Analysis!C108="Profit",Fin_Analysis!F100,IF(Fin_Analysis!C108="Dividend",Fin_Analysis!F103,Fin_Analysis!F106))</f>
        <v>0</v>
      </c>
      <c r="G29" s="274">
        <f>IF(Fin_Analysis!C108="Profit",Fin_Analysis!I100,IF(Fin_Analysis!C108="Dividend",Fin_Analysis!I103,Fin_Analysis!I106))</f>
        <v>0</v>
      </c>
      <c r="H29" s="274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6" t="s">
        <v>223</v>
      </c>
      <c r="C32" s="224"/>
    </row>
    <row r="33" spans="1:3" ht="15.75" customHeight="1" x14ac:dyDescent="0.4">
      <c r="A33"/>
      <c r="B33" s="20" t="s">
        <v>224</v>
      </c>
      <c r="C33" s="245" t="str">
        <f>Inputs!C17</f>
        <v>Strongly agree</v>
      </c>
    </row>
    <row r="34" spans="1:3" ht="15.75" customHeight="1" x14ac:dyDescent="0.4">
      <c r="A34"/>
      <c r="B34" s="19" t="s">
        <v>225</v>
      </c>
      <c r="C34" s="225" t="str">
        <f>IF(AND(OR(Fin_Analysis!I26&lt;0.8,Fin_Analysis!I46&lt;0.6),Data!C55&lt;0.8),"Strongly disagree",
IF(AND(OR(Fin_Analysis!I26&lt;1,Fin_Analysis!I46&lt;0.8),Data!C55&lt;1),"unclear", IF(AND(OR(Fin_Analysis!I26&lt;1.4,Fin_Analysis!I46&lt;1.2),Data!C55&lt;1.4),"agree","Strongly agree")))</f>
        <v>Strongly agree</v>
      </c>
    </row>
    <row r="35" spans="1:3" ht="15.75" customHeight="1" x14ac:dyDescent="0.4">
      <c r="A35"/>
      <c r="B35" s="196" t="s">
        <v>226</v>
      </c>
      <c r="C35" s="224"/>
    </row>
    <row r="36" spans="1:3" ht="15.75" customHeight="1" x14ac:dyDescent="0.4">
      <c r="A36"/>
      <c r="B36" s="20" t="s">
        <v>238</v>
      </c>
      <c r="C36" s="245" t="str">
        <f>Inputs!C18</f>
        <v>unclear</v>
      </c>
    </row>
    <row r="37" spans="1:3" ht="15.75" customHeight="1" x14ac:dyDescent="0.4">
      <c r="A37"/>
      <c r="B37" s="20" t="s">
        <v>239</v>
      </c>
      <c r="C37" s="245" t="str">
        <f>Inputs!C19</f>
        <v>agree</v>
      </c>
    </row>
    <row r="38" spans="1:3" ht="15.75" customHeight="1" x14ac:dyDescent="0.4">
      <c r="A38"/>
      <c r="B38" s="196" t="s">
        <v>227</v>
      </c>
      <c r="C38" s="224"/>
    </row>
    <row r="39" spans="1:3" ht="15.75" customHeight="1" x14ac:dyDescent="0.4">
      <c r="A39"/>
      <c r="B39" s="19" t="s">
        <v>228</v>
      </c>
      <c r="C39" s="245" t="str">
        <f>Inputs!C20</f>
        <v>agree</v>
      </c>
    </row>
    <row r="40" spans="1:3" ht="15.75" customHeight="1" x14ac:dyDescent="0.4">
      <c r="A40"/>
      <c r="B40" s="1" t="s">
        <v>231</v>
      </c>
      <c r="C40" s="245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6" t="s">
        <v>230</v>
      </c>
      <c r="C43" s="244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1"/>
  <sheetViews>
    <sheetView showGridLines="0" zoomScaleNormal="100" workbookViewId="0">
      <pane xSplit="2" topLeftCell="C1" activePane="topRight" state="frozen"/>
      <selection activeCell="A4" sqref="A4"/>
      <selection pane="topRight" activeCell="D52" sqref="D52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199</v>
      </c>
      <c r="F2" s="119" t="s">
        <v>202</v>
      </c>
      <c r="G2" s="148" t="s">
        <v>203</v>
      </c>
      <c r="H2" s="147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45291</v>
      </c>
      <c r="E3" s="146" t="s">
        <v>200</v>
      </c>
      <c r="F3" s="85" t="str">
        <f>H14</f>
        <v/>
      </c>
      <c r="G3" s="85">
        <f>C14</f>
        <v>-161343.33333333334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</v>
      </c>
      <c r="D4" s="1" t="str">
        <f>Dashboard!G6</f>
        <v>CNY</v>
      </c>
      <c r="E4" s="146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0">
        <f>IF(Inputs!C25=""," ",Inputs!C25)</f>
        <v>10760416</v>
      </c>
      <c r="D6" s="200">
        <f>IF(Inputs!D25="","",Inputs!D25)</f>
        <v>10722361</v>
      </c>
      <c r="E6" s="200">
        <f>IF(Inputs!E25="","",Inputs!E25)</f>
        <v>7737943</v>
      </c>
      <c r="F6" s="200">
        <f>IF(Inputs!F25="","",Inputs!F25)</f>
        <v>4526914</v>
      </c>
      <c r="G6" s="200">
        <f>IF(Inputs!G25="","",Inputs!G25)</f>
        <v>3573978</v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3.5491250481121117E-3</v>
      </c>
      <c r="D7" s="92">
        <f t="shared" si="1"/>
        <v>0.38568622177754475</v>
      </c>
      <c r="E7" s="92">
        <f t="shared" si="1"/>
        <v>0.70931963805806775</v>
      </c>
      <c r="F7" s="92">
        <f t="shared" si="1"/>
        <v>0.266631747593298</v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199">
        <f>IF(Inputs!C26="","",Inputs!C26)</f>
        <v>9307367</v>
      </c>
      <c r="D8" s="199">
        <f>IF(Inputs!D26="","",Inputs!D26)</f>
        <v>9290616</v>
      </c>
      <c r="E8" s="199">
        <f>IF(Inputs!E26="","",Inputs!E26)</f>
        <v>7340712</v>
      </c>
      <c r="F8" s="199">
        <f>IF(Inputs!F26="","",Inputs!F26)</f>
        <v>4204600</v>
      </c>
      <c r="G8" s="199">
        <f>IF(Inputs!G26="","",Inputs!G26)</f>
        <v>3214958</v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1">
        <f t="shared" ref="C9:M9" si="2">IF(C6="","",(C6-C8))</f>
        <v>1453049</v>
      </c>
      <c r="D9" s="151">
        <f t="shared" si="2"/>
        <v>1431745</v>
      </c>
      <c r="E9" s="151">
        <f t="shared" si="2"/>
        <v>397231</v>
      </c>
      <c r="F9" s="151">
        <f t="shared" si="2"/>
        <v>322314</v>
      </c>
      <c r="G9" s="151">
        <f t="shared" si="2"/>
        <v>359020</v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199">
        <f>IF(Inputs!C27="","",Inputs!C27)</f>
        <v>1606631</v>
      </c>
      <c r="D10" s="199">
        <f>IF(Inputs!D27="","",Inputs!D27)</f>
        <v>1290315</v>
      </c>
      <c r="E10" s="199">
        <f>IF(Inputs!E27="","",Inputs!E27)</f>
        <v>359473</v>
      </c>
      <c r="F10" s="199">
        <f>IF(Inputs!F27="","",Inputs!F27)</f>
        <v>228660</v>
      </c>
      <c r="G10" s="199">
        <f>IF(Inputs!G27="","",Inputs!G27)</f>
        <v>271638</v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199">
        <f>IF(Inputs!C30="","",MAX(Inputs!C30,0)/(1-Fin_Analysis!$I$84))</f>
        <v>7761.333333333333</v>
      </c>
      <c r="D12" s="199">
        <f>IF(Inputs!D30="","",MAX(Inputs!D30,0)/(1-Fin_Analysis!$I$84))</f>
        <v>30508</v>
      </c>
      <c r="E12" s="199">
        <f>IF(Inputs!E30="","",MAX(Inputs!E30,0)/(1-Fin_Analysis!$I$84))</f>
        <v>417601.33333333331</v>
      </c>
      <c r="F12" s="199">
        <f>IF(Inputs!F30="","",MAX(Inputs!F30,0)/(1-Fin_Analysis!$I$84))</f>
        <v>76290.666666666672</v>
      </c>
      <c r="G12" s="199">
        <f>IF(Inputs!G30="","",MAX(Inputs!G30,0)/(1-Fin_Analysis!$I$84))</f>
        <v>0</v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241</v>
      </c>
      <c r="C13" s="229">
        <f t="shared" ref="C13:M13" si="3">IF(C14="","",C14/C6)</f>
        <v>-1.4994153881535188E-2</v>
      </c>
      <c r="D13" s="229">
        <f t="shared" si="3"/>
        <v>1.0344923100425363E-2</v>
      </c>
      <c r="E13" s="229">
        <f t="shared" si="3"/>
        <v>-4.9088411911710039E-2</v>
      </c>
      <c r="F13" s="229">
        <f t="shared" si="3"/>
        <v>3.8355783505790763E-3</v>
      </c>
      <c r="G13" s="229">
        <f t="shared" si="3"/>
        <v>2.4449506963948854E-2</v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233</v>
      </c>
      <c r="C14" s="230">
        <f>IF(C6="","",C9-C10-MAX(C11,0)-MAX(C12,0))</f>
        <v>-161343.33333333334</v>
      </c>
      <c r="D14" s="230">
        <f t="shared" ref="D14:M14" si="4">IF(D6="","",D9-D10-MAX(D11,0)-MAX(D12,0))</f>
        <v>110922</v>
      </c>
      <c r="E14" s="230">
        <f t="shared" si="4"/>
        <v>-379843.33333333331</v>
      </c>
      <c r="F14" s="230">
        <f t="shared" si="4"/>
        <v>17363.333333333328</v>
      </c>
      <c r="G14" s="230">
        <f t="shared" si="4"/>
        <v>87382</v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242</v>
      </c>
      <c r="C15" s="232" t="str">
        <f>IF(D14="","",IF(ABS(C14+D14)=ABS(C14)+ABS(D14),IF(C14&lt;0,-1,1)*(C14-D14)/D14,"Turn"))</f>
        <v>Turn</v>
      </c>
      <c r="D15" s="232" t="str">
        <f t="shared" ref="D15:M15" si="5">IF(E14="","",IF(ABS(D14+E14)=ABS(D14)+ABS(E14),IF(D14&lt;0,-1,1)*(D14-E14)/E14,"Turn"))</f>
        <v>Turn</v>
      </c>
      <c r="E15" s="232" t="str">
        <f t="shared" si="5"/>
        <v>Turn</v>
      </c>
      <c r="F15" s="232">
        <f t="shared" si="5"/>
        <v>-0.80129393544055605</v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199">
        <f>IF(Inputs!C31="","",Inputs!C31)</f>
        <v>-563737</v>
      </c>
      <c r="D16" s="199">
        <f>IF(Inputs!D31="","",Inputs!D31)</f>
        <v>193859</v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257</v>
      </c>
      <c r="C17" s="199">
        <f>IF(Inputs!C29="","",Inputs!C29)</f>
        <v>25220</v>
      </c>
      <c r="D17" s="199">
        <f>IF(Inputs!D29="","",Inputs!D29)</f>
        <v>12361</v>
      </c>
      <c r="E17" s="199">
        <f>IF(Inputs!E29="","",Inputs!E29)</f>
        <v>915</v>
      </c>
      <c r="F17" s="199">
        <f>IF(Inputs!F29="","",Inputs!F29)</f>
        <v>578</v>
      </c>
      <c r="G17" s="199">
        <f>IF(Inputs!G29="","",Inputs!G29)</f>
        <v>538</v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2">
        <f t="shared" ref="C18:M18" si="6">IF(OR(C6="",C19=""),"",C19/C6)</f>
        <v>1.8782731076568044E-2</v>
      </c>
      <c r="D18" s="152">
        <f t="shared" si="6"/>
        <v>1.5460214406136857E-2</v>
      </c>
      <c r="E18" s="152">
        <f t="shared" si="6"/>
        <v>3.1920628001524433E-2</v>
      </c>
      <c r="F18" s="152">
        <f t="shared" si="6"/>
        <v>1.237045810898992E-2</v>
      </c>
      <c r="G18" s="152">
        <f t="shared" si="6"/>
        <v>1.9306218449022351E-2</v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199">
        <f>IF(Inputs!C32="","",Inputs!C32)</f>
        <v>202110</v>
      </c>
      <c r="D19" s="199">
        <f>IF(Inputs!D32="","",Inputs!D32)</f>
        <v>165770</v>
      </c>
      <c r="E19" s="199">
        <f>IF(Inputs!E32="","",Inputs!E32)</f>
        <v>247000</v>
      </c>
      <c r="F19" s="199">
        <f>IF(Inputs!F32="","",Inputs!F32)</f>
        <v>56000</v>
      </c>
      <c r="G19" s="199">
        <f>IF(Inputs!G32="","",Inputs!G32)</f>
        <v>69000</v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2">
        <f t="shared" ref="C20:M20" si="7">IF(C6="","",MAX(C21,0)/C6)</f>
        <v>4.7067232344920495E-2</v>
      </c>
      <c r="D20" s="152">
        <f t="shared" si="7"/>
        <v>0.10978468268322621</v>
      </c>
      <c r="E20" s="152">
        <f t="shared" si="7"/>
        <v>0</v>
      </c>
      <c r="F20" s="152">
        <f t="shared" si="7"/>
        <v>0</v>
      </c>
      <c r="G20" s="152">
        <f t="shared" si="7"/>
        <v>0</v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199">
        <f>IF(Inputs!C33="","",Inputs!C33)</f>
        <v>506463</v>
      </c>
      <c r="D21" s="199">
        <f>IF(Inputs!D33="","",Inputs!D33)</f>
        <v>1177151</v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1">
        <f>IF(C6="","",C14-MAX(C16,0)-MAX(C17,0)-ABS(MAX(C21,0)-MAX(C19,0)))</f>
        <v>-490916.33333333337</v>
      </c>
      <c r="D22" s="161">
        <f t="shared" ref="D22:M22" si="8">IF(D6="","",D14-MAX(D16,0)-MAX(D17,0)-ABS(MAX(D21,0)-MAX(D19,0)))</f>
        <v>-1106679</v>
      </c>
      <c r="E22" s="161">
        <f t="shared" si="8"/>
        <v>-627758.33333333326</v>
      </c>
      <c r="F22" s="161">
        <f t="shared" si="8"/>
        <v>-39214.666666666672</v>
      </c>
      <c r="G22" s="161">
        <f t="shared" si="8"/>
        <v>17844</v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3">
        <f t="shared" ref="C23:M23" si="9">IF(C6="","",C24/C6)</f>
        <v>-3.4216823029890292E-2</v>
      </c>
      <c r="D23" s="153">
        <f t="shared" si="9"/>
        <v>-7.7409187211659819E-2</v>
      </c>
      <c r="E23" s="153">
        <f t="shared" si="9"/>
        <v>-6.0845466295112276E-2</v>
      </c>
      <c r="F23" s="153">
        <f t="shared" si="9"/>
        <v>-6.4969204186339754E-3</v>
      </c>
      <c r="G23" s="153">
        <f t="shared" si="9"/>
        <v>3.7445669783082044E-3</v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4">
        <f>IF(C6="","",C22*(1-Fin_Analysis!$I$84))</f>
        <v>-368187.25</v>
      </c>
      <c r="D24" s="77">
        <f>IF(D6="","",D22*(1-Fin_Analysis!$I$84))</f>
        <v>-830009.25</v>
      </c>
      <c r="E24" s="77">
        <f>IF(E6="","",E22*(1-Fin_Analysis!$I$84))</f>
        <v>-470818.74999999994</v>
      </c>
      <c r="F24" s="77">
        <f>IF(F6="","",F22*(1-Fin_Analysis!$I$84))</f>
        <v>-29411.000000000004</v>
      </c>
      <c r="G24" s="77">
        <f>IF(G6="","",G22*(1-Fin_Analysis!$I$84))</f>
        <v>13383</v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128</v>
      </c>
      <c r="C25" s="233">
        <f>IF(D24="","",IF(ABS(C24+D24)=ABS(C24)+ABS(D24),IF(C24&lt;0,-1,1)*(C24-D24)/D24,"Turn"))</f>
        <v>0.55640584728423204</v>
      </c>
      <c r="D25" s="233">
        <f t="shared" ref="D25:M25" si="10">IF(E24="","",IF(ABS(D24+E24)=ABS(D24)+ABS(E24),IF(D24&lt;0,-1,1)*(D24-E24)/E24,"Turn"))</f>
        <v>-0.76290610771130096</v>
      </c>
      <c r="E25" s="233">
        <f t="shared" si="10"/>
        <v>-15.008253714596576</v>
      </c>
      <c r="F25" s="233" t="str">
        <f t="shared" si="10"/>
        <v>Turn</v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10808428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8572255</v>
      </c>
      <c r="D28" s="199" t="str">
        <f>IF(Inputs!D34="","",Inputs!D34)</f>
        <v/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2820142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1802858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5753095</v>
      </c>
      <c r="D31" s="199" t="str">
        <f>IF(Inputs!D37="","",Inputs!D37)</f>
        <v/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638511</v>
      </c>
      <c r="D32" s="199" t="str">
        <f>IF(Inputs!D38="","",Inputs!D38)</f>
        <v/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186372</v>
      </c>
      <c r="D33" s="199" t="str">
        <f>IF(Inputs!D39="","",Inputs!D39)</f>
        <v/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449467</v>
      </c>
      <c r="D34" s="199" t="str">
        <f>IF(Inputs!D40="","",Inputs!D40)</f>
        <v/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635839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4416822</v>
      </c>
      <c r="D36" s="199" t="str">
        <f>IF(Inputs!D41="","",Inputs!D41)</f>
        <v/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59393</v>
      </c>
      <c r="D37" s="199" t="str">
        <f>IF(Inputs!D42="","",Inputs!D42)</f>
        <v/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3943819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6864609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5">
        <f>IF(C6="","",C14/MAX(C39,0))</f>
        <v>-2.3503645048586649E-2</v>
      </c>
      <c r="D40" s="155" t="e">
        <f>IF(D6="","",D14/MAX(D39,0))</f>
        <v>#DIV/0!</v>
      </c>
      <c r="E40" s="155" t="e">
        <f>IF(E6="","",E14/MAX(E39,0))</f>
        <v>#DIV/0!</v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6">
        <f t="shared" ref="C42:M42" si="34">IF(C6="","",C8/C6)</f>
        <v>0.8649634921177769</v>
      </c>
      <c r="D42" s="156">
        <f t="shared" si="34"/>
        <v>0.86647110650350234</v>
      </c>
      <c r="E42" s="156">
        <f t="shared" si="34"/>
        <v>0.94866452234140264</v>
      </c>
      <c r="F42" s="156">
        <f t="shared" si="34"/>
        <v>0.92880050294748251</v>
      </c>
      <c r="G42" s="156">
        <f t="shared" si="34"/>
        <v>0.89954610800626078</v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3">
        <f t="shared" ref="C43:M43" si="35">IF(C6="","",(C10+MAX(C11,0))/C6)</f>
        <v>0.14930937614307849</v>
      </c>
      <c r="D43" s="153">
        <f t="shared" si="35"/>
        <v>0.12033870152292019</v>
      </c>
      <c r="E43" s="153">
        <f t="shared" si="35"/>
        <v>4.6455886273651797E-2</v>
      </c>
      <c r="F43" s="153">
        <f t="shared" si="35"/>
        <v>5.0511231271457777E-2</v>
      </c>
      <c r="G43" s="153">
        <f t="shared" si="35"/>
        <v>7.6004385029790331E-2</v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3">
        <f t="shared" ref="C44:M44" si="36">IF(C6="","",MAX(C16,0)/C6)</f>
        <v>0</v>
      </c>
      <c r="D44" s="153">
        <f t="shared" si="36"/>
        <v>1.8079879981657027E-2</v>
      </c>
      <c r="E44" s="153">
        <f t="shared" si="36"/>
        <v>0</v>
      </c>
      <c r="F44" s="153">
        <f t="shared" si="36"/>
        <v>0</v>
      </c>
      <c r="G44" s="153">
        <f t="shared" si="36"/>
        <v>0</v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3">
        <f t="shared" ref="C45:M45" si="37">IF(C6="","",MAX(C17,0)/C6)</f>
        <v>2.3437755566327548E-3</v>
      </c>
      <c r="D45" s="153">
        <f t="shared" si="37"/>
        <v>1.152824457225419E-3</v>
      </c>
      <c r="E45" s="153">
        <f t="shared" si="37"/>
        <v>1.1824848024856219E-4</v>
      </c>
      <c r="F45" s="153">
        <f t="shared" si="37"/>
        <v>1.2768079976778883E-4</v>
      </c>
      <c r="G45" s="153">
        <f t="shared" si="37"/>
        <v>1.505325438488989E-4</v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3">
        <f>IF(C6="","",MAX(C12,0)/C6)</f>
        <v>7.2128562067984476E-4</v>
      </c>
      <c r="D46" s="153">
        <f t="shared" ref="D46:M46" si="38">IF(D6="","",MAX(D12,0)/D6)</f>
        <v>2.8452688731520977E-3</v>
      </c>
      <c r="E46" s="153">
        <f t="shared" si="38"/>
        <v>5.3968003296655624E-2</v>
      </c>
      <c r="F46" s="153">
        <f t="shared" si="38"/>
        <v>1.6852687430480604E-2</v>
      </c>
      <c r="G46" s="153">
        <f t="shared" si="38"/>
        <v>0</v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3">
        <f>IF(C6="","",ABS(MAX(C21,0)-MAX(C19,0))/C6)</f>
        <v>2.8284501268352451E-2</v>
      </c>
      <c r="D47" s="153">
        <f t="shared" ref="D47:M47" si="39">IF(D6="","",ABS(MAX(D21,0)-MAX(D19,0))/D6)</f>
        <v>9.4324468277089346E-2</v>
      </c>
      <c r="E47" s="153">
        <f t="shared" si="39"/>
        <v>3.1920628001524433E-2</v>
      </c>
      <c r="F47" s="153">
        <f t="shared" si="39"/>
        <v>1.237045810898992E-2</v>
      </c>
      <c r="G47" s="153">
        <f t="shared" si="39"/>
        <v>1.9306218449022351E-2</v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3">
        <f t="shared" ref="C48:M48" si="40">IF(C6="","",C22/C6)</f>
        <v>-4.5622430706520396E-2</v>
      </c>
      <c r="D48" s="153">
        <f t="shared" si="40"/>
        <v>-0.10321224961554643</v>
      </c>
      <c r="E48" s="153">
        <f t="shared" si="40"/>
        <v>-8.112728839348303E-2</v>
      </c>
      <c r="F48" s="153">
        <f t="shared" si="40"/>
        <v>-8.6625605581786332E-3</v>
      </c>
      <c r="G48" s="153">
        <f t="shared" si="40"/>
        <v>4.9927559710776061E-3</v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6">
        <f t="shared" ref="C50:M50" si="41">IF(C29="","",C29/C6)</f>
        <v>0.26208484876421134</v>
      </c>
      <c r="D50" s="156" t="str">
        <f t="shared" si="41"/>
        <v/>
      </c>
      <c r="E50" s="156" t="str">
        <f t="shared" si="41"/>
        <v/>
      </c>
      <c r="F50" s="156" t="str">
        <f t="shared" si="41"/>
        <v/>
      </c>
      <c r="G50" s="156" t="str">
        <f t="shared" si="41"/>
        <v/>
      </c>
      <c r="H50" s="156" t="str">
        <f t="shared" si="41"/>
        <v/>
      </c>
      <c r="I50" s="156" t="str">
        <f t="shared" si="41"/>
        <v/>
      </c>
      <c r="J50" s="156" t="str">
        <f t="shared" si="41"/>
        <v/>
      </c>
      <c r="K50" s="156" t="str">
        <f t="shared" si="41"/>
        <v/>
      </c>
      <c r="L50" s="156" t="str">
        <f t="shared" si="41"/>
        <v/>
      </c>
      <c r="M50" s="156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3">
        <f t="shared" ref="C51:M51" si="42">IF(C30="","",C30/C6)</f>
        <v>0.16754538114511558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4"/>
      <c r="B52" s="94" t="s">
        <v>263</v>
      </c>
      <c r="C52" s="153">
        <f>IF(D6="","",C16/(C6-D6))</f>
        <v>-14.813743266325055</v>
      </c>
      <c r="D52" s="153">
        <f t="shared" ref="D52:M52" si="43">IF(E6="","",D16/(D6-E6))</f>
        <v>6.4957053603081072E-2</v>
      </c>
      <c r="E52" s="153" t="e">
        <f t="shared" si="43"/>
        <v>#VALUE!</v>
      </c>
      <c r="F52" s="153" t="e">
        <f t="shared" si="43"/>
        <v>#VALUE!</v>
      </c>
      <c r="G52" s="153" t="str">
        <f t="shared" si="43"/>
        <v/>
      </c>
      <c r="H52" s="153" t="str">
        <f t="shared" si="43"/>
        <v/>
      </c>
      <c r="I52" s="153" t="str">
        <f t="shared" si="43"/>
        <v/>
      </c>
      <c r="J52" s="153" t="str">
        <f t="shared" si="43"/>
        <v/>
      </c>
      <c r="K52" s="153" t="str">
        <f t="shared" si="43"/>
        <v/>
      </c>
      <c r="L52" s="153" t="str">
        <f t="shared" si="43"/>
        <v/>
      </c>
      <c r="M52" s="153" t="str">
        <f t="shared" si="43"/>
        <v/>
      </c>
      <c r="N52" s="87"/>
    </row>
    <row r="53" spans="1:14" ht="15.75" customHeight="1" x14ac:dyDescent="0.4">
      <c r="A53" s="16"/>
      <c r="B53" s="102" t="s">
        <v>124</v>
      </c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</row>
    <row r="54" spans="1:14" ht="15.75" customHeight="1" x14ac:dyDescent="0.4">
      <c r="A54" s="4"/>
      <c r="B54" s="95" t="s">
        <v>19</v>
      </c>
      <c r="C54" s="156">
        <f>IF(C36="","",(C27-C36)/C27)</f>
        <v>0.59135389531206572</v>
      </c>
      <c r="D54" s="156" t="str">
        <f t="shared" ref="D54:M54" si="44">IF(D36="","",(D27-D36)/D27)</f>
        <v/>
      </c>
      <c r="E54" s="156" t="str">
        <f t="shared" si="44"/>
        <v/>
      </c>
      <c r="F54" s="156" t="str">
        <f t="shared" si="44"/>
        <v/>
      </c>
      <c r="G54" s="156" t="str">
        <f t="shared" si="44"/>
        <v/>
      </c>
      <c r="H54" s="156" t="str">
        <f t="shared" si="44"/>
        <v/>
      </c>
      <c r="I54" s="156" t="str">
        <f t="shared" si="44"/>
        <v/>
      </c>
      <c r="J54" s="156" t="str">
        <f t="shared" si="44"/>
        <v/>
      </c>
      <c r="K54" s="156" t="str">
        <f t="shared" si="44"/>
        <v/>
      </c>
      <c r="L54" s="156" t="str">
        <f t="shared" si="44"/>
        <v/>
      </c>
      <c r="M54" s="156" t="str">
        <f t="shared" si="44"/>
        <v/>
      </c>
    </row>
    <row r="55" spans="1:14" ht="15.75" customHeight="1" x14ac:dyDescent="0.4">
      <c r="A55" s="4"/>
      <c r="B55" s="94" t="s">
        <v>120</v>
      </c>
      <c r="C55" s="157">
        <f t="shared" ref="C55:M55" si="45">IF(OR(C22="",C35=""),"",IF(C35&lt;=0,"-",C22/C35))</f>
        <v>-0.77207647428568138</v>
      </c>
      <c r="D55" s="157" t="str">
        <f t="shared" si="45"/>
        <v/>
      </c>
      <c r="E55" s="157" t="str">
        <f t="shared" si="45"/>
        <v/>
      </c>
      <c r="F55" s="157" t="str">
        <f t="shared" si="45"/>
        <v/>
      </c>
      <c r="G55" s="157" t="str">
        <f t="shared" si="45"/>
        <v/>
      </c>
      <c r="H55" s="157" t="str">
        <f t="shared" si="45"/>
        <v/>
      </c>
      <c r="I55" s="157" t="str">
        <f t="shared" si="45"/>
        <v/>
      </c>
      <c r="J55" s="157" t="str">
        <f t="shared" si="45"/>
        <v/>
      </c>
      <c r="K55" s="157" t="str">
        <f t="shared" si="45"/>
        <v/>
      </c>
      <c r="L55" s="157" t="str">
        <f t="shared" si="45"/>
        <v/>
      </c>
      <c r="M55" s="157" t="str">
        <f t="shared" si="45"/>
        <v/>
      </c>
    </row>
    <row r="56" spans="1:14" ht="15.75" customHeight="1" x14ac:dyDescent="0.4">
      <c r="A56" s="4"/>
      <c r="B56" s="94" t="s">
        <v>122</v>
      </c>
      <c r="C56" s="153">
        <f t="shared" ref="C56:M56" si="46">IF(C22="","",IF(MAX(C17,0)&lt;=0,"-",C17/C22))</f>
        <v>-5.1373316159101103E-2</v>
      </c>
      <c r="D56" s="153">
        <f t="shared" si="46"/>
        <v>-1.1169453834400038E-2</v>
      </c>
      <c r="E56" s="153">
        <f t="shared" si="46"/>
        <v>-1.4575672697826926E-3</v>
      </c>
      <c r="F56" s="153">
        <f t="shared" si="46"/>
        <v>-1.4739383223963821E-2</v>
      </c>
      <c r="G56" s="153">
        <f t="shared" si="46"/>
        <v>3.0150190540237615E-2</v>
      </c>
      <c r="H56" s="153" t="str">
        <f t="shared" si="46"/>
        <v/>
      </c>
      <c r="I56" s="153" t="str">
        <f t="shared" si="46"/>
        <v/>
      </c>
      <c r="J56" s="153" t="str">
        <f t="shared" si="46"/>
        <v/>
      </c>
      <c r="K56" s="153" t="str">
        <f t="shared" si="46"/>
        <v/>
      </c>
      <c r="L56" s="153" t="str">
        <f t="shared" si="46"/>
        <v/>
      </c>
      <c r="M56" s="153" t="str">
        <f t="shared" si="46"/>
        <v/>
      </c>
    </row>
    <row r="57" spans="1:14" ht="15.75" customHeight="1" x14ac:dyDescent="0.4">
      <c r="A57" s="4"/>
      <c r="B57" s="98" t="s">
        <v>20</v>
      </c>
      <c r="C57" s="158">
        <f t="shared" ref="C57:M57" si="47">IF(C28="","",C28/C31)</f>
        <v>1.4900249344048726</v>
      </c>
      <c r="D57" s="158" t="str">
        <f t="shared" si="47"/>
        <v/>
      </c>
      <c r="E57" s="158" t="str">
        <f t="shared" si="47"/>
        <v/>
      </c>
      <c r="F57" s="158" t="str">
        <f t="shared" si="47"/>
        <v/>
      </c>
      <c r="G57" s="158" t="str">
        <f t="shared" si="47"/>
        <v/>
      </c>
      <c r="H57" s="158" t="str">
        <f t="shared" si="47"/>
        <v/>
      </c>
      <c r="I57" s="158" t="str">
        <f t="shared" si="47"/>
        <v/>
      </c>
      <c r="J57" s="158" t="str">
        <f t="shared" si="47"/>
        <v/>
      </c>
      <c r="K57" s="158" t="str">
        <f t="shared" si="47"/>
        <v/>
      </c>
      <c r="L57" s="158" t="str">
        <f t="shared" si="47"/>
        <v/>
      </c>
      <c r="M57" s="158" t="str">
        <f t="shared" si="47"/>
        <v/>
      </c>
    </row>
    <row r="58" spans="1:14" ht="15.75" customHeight="1" x14ac:dyDescent="0.4"/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>
      <c r="A248" s="4"/>
    </row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  <row r="931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85" zoomScaleNormal="100" workbookViewId="0">
      <selection activeCell="I100" sqref="I100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4416822</v>
      </c>
      <c r="E3" s="67" t="str">
        <f>IF((C49-I49)=D3,"", "Error!")</f>
        <v/>
      </c>
      <c r="F3" s="87"/>
      <c r="G3" s="87"/>
      <c r="H3" s="47" t="s">
        <v>23</v>
      </c>
      <c r="I3" s="204">
        <f>Inputs!C83</f>
        <v>4357429</v>
      </c>
      <c r="K3" s="24"/>
    </row>
    <row r="4" spans="1:11" ht="15" customHeight="1" x14ac:dyDescent="0.4">
      <c r="B4" s="3" t="s">
        <v>24</v>
      </c>
      <c r="C4" s="87"/>
      <c r="D4" s="65">
        <f>D3-I3</f>
        <v>59393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>
        <f>C28/I28</f>
        <v>1.4900249344048726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-170955.76183143185</v>
      </c>
      <c r="E6" s="56">
        <f>1-D6/D3</f>
        <v>1.0387056036741875</v>
      </c>
      <c r="F6" s="87"/>
      <c r="G6" s="87"/>
      <c r="H6" s="1" t="s">
        <v>29</v>
      </c>
      <c r="I6" s="63">
        <f>(C24+C25)/I28</f>
        <v>1.1756650985252286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>
        <f>C24/I28</f>
        <v>1.1756650985252286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3496104</v>
      </c>
      <c r="D11" s="198">
        <f>Inputs!D48</f>
        <v>0.9</v>
      </c>
      <c r="E11" s="88">
        <f t="shared" ref="E11:E22" si="0">C11*D11</f>
        <v>3146493.6</v>
      </c>
      <c r="F11" s="112"/>
      <c r="G11" s="87"/>
      <c r="H11" s="3" t="s">
        <v>38</v>
      </c>
      <c r="I11" s="40">
        <f>Inputs!C73</f>
        <v>174488</v>
      </c>
      <c r="J11" s="87"/>
      <c r="K11" s="24"/>
    </row>
    <row r="12" spans="1:11" ht="13.9" x14ac:dyDescent="0.4">
      <c r="B12" s="1" t="s">
        <v>135</v>
      </c>
      <c r="C12" s="40">
        <f>Inputs!C49</f>
        <v>41635</v>
      </c>
      <c r="D12" s="198">
        <f>Inputs!D49</f>
        <v>0.8</v>
      </c>
      <c r="E12" s="88">
        <f t="shared" si="0"/>
        <v>33308</v>
      </c>
      <c r="F12" s="112"/>
      <c r="G12" s="87"/>
      <c r="H12" s="3" t="s">
        <v>39</v>
      </c>
      <c r="I12" s="40">
        <f>Inputs!C74</f>
        <v>11884</v>
      </c>
      <c r="J12" s="87"/>
      <c r="K12" s="24"/>
    </row>
    <row r="13" spans="1:11" ht="13.9" x14ac:dyDescent="0.4">
      <c r="B13" s="3" t="s">
        <v>116</v>
      </c>
      <c r="C13" s="40">
        <f>Inputs!C50</f>
        <v>2820142</v>
      </c>
      <c r="D13" s="198">
        <f>Inputs!D50</f>
        <v>0.6</v>
      </c>
      <c r="E13" s="88">
        <f t="shared" si="0"/>
        <v>1692085.2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405832</v>
      </c>
      <c r="D14" s="198">
        <f>Inputs!D51</f>
        <v>0.6</v>
      </c>
      <c r="E14" s="88">
        <f t="shared" si="0"/>
        <v>243499.19999999998</v>
      </c>
      <c r="F14" s="112"/>
      <c r="G14" s="87"/>
      <c r="H14" s="86" t="s">
        <v>42</v>
      </c>
      <c r="I14" s="205">
        <f>Inputs!C76</f>
        <v>0</v>
      </c>
      <c r="J14" s="87"/>
      <c r="K14" s="27"/>
    </row>
    <row r="15" spans="1:11" ht="13.9" x14ac:dyDescent="0.4">
      <c r="B15" s="3" t="s">
        <v>43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53</v>
      </c>
      <c r="I15" s="84">
        <f>SUM(I11:I14)</f>
        <v>186372</v>
      </c>
      <c r="J15" s="87"/>
    </row>
    <row r="16" spans="1:11" ht="13.9" x14ac:dyDescent="0.4">
      <c r="B16" s="1" t="s">
        <v>158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1802858</v>
      </c>
      <c r="D18" s="198">
        <f>Inputs!D55</f>
        <v>0.5</v>
      </c>
      <c r="E18" s="88">
        <f t="shared" si="0"/>
        <v>901429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5684</v>
      </c>
      <c r="D21" s="198">
        <f>Inputs!D58</f>
        <v>0.9</v>
      </c>
      <c r="E21" s="88">
        <f t="shared" si="0"/>
        <v>5115.6000000000004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5566723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6763713</v>
      </c>
      <c r="D24" s="62">
        <f>IF(E24=0,0,E24/C24)</f>
        <v>0.75629850054252745</v>
      </c>
      <c r="E24" s="88">
        <f>SUM(E11:E14)</f>
        <v>5115386</v>
      </c>
      <c r="F24" s="113">
        <f>E24/$E$28</f>
        <v>0.84945947400987987</v>
      </c>
      <c r="G24" s="87"/>
    </row>
    <row r="25" spans="2:10" ht="15" customHeight="1" x14ac:dyDescent="0.4">
      <c r="B25" s="23" t="s">
        <v>54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>
        <f>E25/$E$28</f>
        <v>0</v>
      </c>
      <c r="G25" s="87"/>
      <c r="H25" s="23" t="s">
        <v>55</v>
      </c>
      <c r="I25" s="63">
        <f>E28/I28</f>
        <v>1.046728865071757</v>
      </c>
    </row>
    <row r="26" spans="2:10" ht="15" customHeight="1" x14ac:dyDescent="0.4">
      <c r="B26" s="23" t="s">
        <v>56</v>
      </c>
      <c r="C26" s="61">
        <f>C18+C19+C20</f>
        <v>1802858</v>
      </c>
      <c r="D26" s="62">
        <f>IF(E26=0,0,E26/C26)</f>
        <v>0.5</v>
      </c>
      <c r="E26" s="88">
        <f>E18+E19+E20</f>
        <v>901429</v>
      </c>
      <c r="F26" s="113">
        <f>E26/$E$28</f>
        <v>0.14969103097933412</v>
      </c>
      <c r="G26" s="87"/>
      <c r="H26" s="23" t="s">
        <v>57</v>
      </c>
      <c r="I26" s="63">
        <f>E24/($I$28-I22)</f>
        <v>27.447180907003197</v>
      </c>
      <c r="J26" s="8" t="str">
        <f>IF(I26&lt;1,"Liquidity Problem!","")</f>
        <v/>
      </c>
    </row>
    <row r="27" spans="2:10" ht="15" customHeight="1" x14ac:dyDescent="0.4">
      <c r="B27" s="23" t="s">
        <v>58</v>
      </c>
      <c r="C27" s="77">
        <f>C21+C22</f>
        <v>5684</v>
      </c>
      <c r="D27" s="62">
        <f>IF(E27=0,0,E27/C27)</f>
        <v>0.9</v>
      </c>
      <c r="E27" s="88">
        <f>E21+E22</f>
        <v>5115.6000000000004</v>
      </c>
      <c r="F27" s="113">
        <f>E27/$E$28</f>
        <v>8.4949501078607594E-4</v>
      </c>
      <c r="G27" s="87"/>
      <c r="H27" s="23" t="s">
        <v>59</v>
      </c>
      <c r="I27" s="63">
        <f>(E25+E24)/$I$28</f>
        <v>0.88915375115481321</v>
      </c>
      <c r="J27" s="8" t="str">
        <f>IF(OR(I27&lt;0.75,C28&lt;I28),"Liquidity Issue!","")</f>
        <v/>
      </c>
    </row>
    <row r="28" spans="2:10" ht="15" customHeight="1" x14ac:dyDescent="0.4">
      <c r="B28" s="78" t="s">
        <v>14</v>
      </c>
      <c r="C28" s="79">
        <f>SUM(C11:C22)</f>
        <v>8572255</v>
      </c>
      <c r="D28" s="57">
        <f>E28/C28</f>
        <v>0.70249083817501923</v>
      </c>
      <c r="E28" s="70">
        <f>SUM(E24:E27)</f>
        <v>6021930.5999999996</v>
      </c>
      <c r="F28" s="112"/>
      <c r="G28" s="87"/>
      <c r="H28" s="78" t="s">
        <v>15</v>
      </c>
      <c r="I28" s="206">
        <f>Inputs!C77</f>
        <v>5753095</v>
      </c>
      <c r="J28" s="32">
        <f>IF(J26="",1,0)+IF(J27="",1,0)+IF(J46="",1,0)+IF(J47="",1,0)</f>
        <v>4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432202</v>
      </c>
      <c r="J30" s="87"/>
    </row>
    <row r="31" spans="2:10" ht="15" customHeight="1" x14ac:dyDescent="0.4">
      <c r="B31" s="3" t="s">
        <v>62</v>
      </c>
      <c r="C31" s="40">
        <f>Inputs!C61</f>
        <v>41883</v>
      </c>
      <c r="D31" s="198">
        <f>Inputs!D61</f>
        <v>0.6</v>
      </c>
      <c r="E31" s="88">
        <f t="shared" ref="E31:E42" si="1">C31*D31</f>
        <v>25129.8</v>
      </c>
      <c r="F31" s="112"/>
      <c r="G31" s="87"/>
      <c r="H31" s="3" t="s">
        <v>63</v>
      </c>
      <c r="I31" s="40">
        <f>Inputs!C79</f>
        <v>17265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5">
        <f>Inputs!C81</f>
        <v>0</v>
      </c>
      <c r="J33" s="87"/>
    </row>
    <row r="34" spans="2:10" ht="13.9" x14ac:dyDescent="0.4">
      <c r="B34" s="3" t="s">
        <v>67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449467</v>
      </c>
      <c r="J34" s="87"/>
    </row>
    <row r="35" spans="2:10" ht="13.9" x14ac:dyDescent="0.4">
      <c r="B35" s="3" t="s">
        <v>69</v>
      </c>
      <c r="C35" s="40">
        <f>Inputs!C65</f>
        <v>0</v>
      </c>
      <c r="D35" s="198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2128034</v>
      </c>
      <c r="D38" s="198">
        <f>Inputs!D68</f>
        <v>0.1</v>
      </c>
      <c r="E38" s="88">
        <f t="shared" si="1"/>
        <v>212803.40000000002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27391</v>
      </c>
      <c r="D40" s="198">
        <f>Inputs!D70</f>
        <v>0.05</v>
      </c>
      <c r="E40" s="88">
        <f t="shared" si="1"/>
        <v>1369.5500000000002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38865</v>
      </c>
      <c r="D41" s="198">
        <f>Inputs!D71</f>
        <v>0.9</v>
      </c>
      <c r="E41" s="88">
        <f t="shared" si="1"/>
        <v>34978.5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189044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41883</v>
      </c>
      <c r="D44" s="62">
        <f>IF(E44=0,0,E44/C44)</f>
        <v>0.6</v>
      </c>
      <c r="E44" s="88">
        <f>SUM(E30:E31)</f>
        <v>25129.8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2128034</v>
      </c>
      <c r="D46" s="62">
        <f>IF(E46=0,0,E46/C46)</f>
        <v>0.1</v>
      </c>
      <c r="E46" s="88">
        <f>E36+E37+E38+E39</f>
        <v>212803.40000000002</v>
      </c>
      <c r="F46" s="87"/>
      <c r="G46" s="87"/>
      <c r="H46" s="23" t="s">
        <v>80</v>
      </c>
      <c r="I46" s="63">
        <f>(E44+E24)/E64</f>
        <v>8.0846185905551557</v>
      </c>
      <c r="J46" s="8" t="str">
        <f>IF(I46&lt;1,"Liquidity Problem!","")</f>
        <v/>
      </c>
    </row>
    <row r="47" spans="2:10" ht="15" customHeight="1" x14ac:dyDescent="0.4">
      <c r="B47" s="23" t="s">
        <v>81</v>
      </c>
      <c r="C47" s="61">
        <f>C40+C41+C42</f>
        <v>66256</v>
      </c>
      <c r="D47" s="62">
        <f>IF(E47=0,0,E47/C47)</f>
        <v>0.54860012678097081</v>
      </c>
      <c r="E47" s="88">
        <f>E40+E41+E42</f>
        <v>36348.050000000003</v>
      </c>
      <c r="F47" s="87"/>
      <c r="G47" s="87"/>
      <c r="H47" s="23" t="s">
        <v>82</v>
      </c>
      <c r="I47" s="63">
        <f>(E44+E45+E24+E25)/$I$49</f>
        <v>0.804260431572284</v>
      </c>
      <c r="J47" s="8" t="str">
        <f>IF(OR(I47&lt;0.5,C49&lt;I49),"Liquidity Issue!","")</f>
        <v/>
      </c>
    </row>
    <row r="48" spans="2:10" ht="15" customHeight="1" thickBot="1" x14ac:dyDescent="0.45">
      <c r="B48" s="80" t="s">
        <v>83</v>
      </c>
      <c r="C48" s="81">
        <f>SUM(C30:C42)</f>
        <v>2236173</v>
      </c>
      <c r="D48" s="82">
        <f>E48/C48</f>
        <v>0.12265654312076928</v>
      </c>
      <c r="E48" s="76">
        <f>SUM(E30:E42)</f>
        <v>274281.25</v>
      </c>
      <c r="F48" s="87"/>
      <c r="G48" s="87"/>
      <c r="H48" s="80" t="s">
        <v>84</v>
      </c>
      <c r="I48" s="207">
        <f>Inputs!C82</f>
        <v>638511</v>
      </c>
      <c r="J48" s="8"/>
    </row>
    <row r="49" spans="2:11" ht="15" customHeight="1" thickTop="1" x14ac:dyDescent="0.4">
      <c r="B49" s="3" t="s">
        <v>13</v>
      </c>
      <c r="C49" s="61">
        <f>C28+C48</f>
        <v>10808428</v>
      </c>
      <c r="D49" s="56">
        <f>E49/C49</f>
        <v>0.58252799111952258</v>
      </c>
      <c r="E49" s="88">
        <f>E28+E48</f>
        <v>6296211.8499999996</v>
      </c>
      <c r="F49" s="87"/>
      <c r="G49" s="87"/>
      <c r="H49" s="3" t="s">
        <v>85</v>
      </c>
      <c r="I49" s="52">
        <f>I28+I48</f>
        <v>6391606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P/B Approach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59393</v>
      </c>
      <c r="D53" s="29">
        <f>IF(E53=0, 0,E53/C53)</f>
        <v>1.0835215763986794</v>
      </c>
      <c r="E53" s="88">
        <f>IF(C53=0,0,MAX(C53,C53*Dashboard!G23))</f>
        <v>64353.596987046767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4">
        <f>I15+I34</f>
        <v>635839</v>
      </c>
      <c r="E56" s="282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3">
        <f>Inputs!C84</f>
        <v>0</v>
      </c>
      <c r="E57" s="282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3">
        <f>Inputs!C85</f>
        <v>0</v>
      </c>
      <c r="E58" s="282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447715</v>
      </c>
      <c r="D61" s="56">
        <f t="shared" ref="D61:D70" si="2">IF(E61=0,0,E61/C61)</f>
        <v>0.6</v>
      </c>
      <c r="E61" s="52">
        <f>E14+E15+(E19*G19)+(E20*G20)+E31+E32+(E35*G35)+(E36*G36)+(E37*G37)</f>
        <v>268629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3496104</v>
      </c>
      <c r="D62" s="107">
        <f t="shared" si="2"/>
        <v>0.9</v>
      </c>
      <c r="E62" s="118">
        <f>E11+E30</f>
        <v>3146493.6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3943819</v>
      </c>
      <c r="D63" s="29">
        <f t="shared" si="2"/>
        <v>0.86594303643245296</v>
      </c>
      <c r="E63" s="61">
        <f>E61+E62</f>
        <v>3415122.6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8"/>
      <c r="D64" s="208"/>
      <c r="E64" s="69">
        <f>D56+D57+D58</f>
        <v>635839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3307980</v>
      </c>
      <c r="D65" s="29">
        <f t="shared" si="2"/>
        <v>0.84017545450698017</v>
      </c>
      <c r="E65" s="61">
        <f>E63-E64</f>
        <v>2779283.6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6864609</v>
      </c>
      <c r="D68" s="29">
        <f t="shared" si="2"/>
        <v>0.41970187231348494</v>
      </c>
      <c r="E68" s="68">
        <f>E49-E63</f>
        <v>2881089.2499999995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8"/>
      <c r="D69" s="208"/>
      <c r="E69" s="126">
        <f>I49-E64</f>
        <v>5755767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1108842</v>
      </c>
      <c r="D70" s="29">
        <f t="shared" si="2"/>
        <v>-2.5925043874600715</v>
      </c>
      <c r="E70" s="68">
        <f>E68-E69</f>
        <v>-2874677.7500000005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1">
        <f>Data!C5</f>
        <v>45291</v>
      </c>
      <c r="D72" s="271"/>
      <c r="E72" s="285" t="s">
        <v>206</v>
      </c>
      <c r="F72" s="285"/>
      <c r="H72" s="285" t="s">
        <v>205</v>
      </c>
      <c r="I72" s="285"/>
      <c r="K72" s="50" t="s">
        <v>7</v>
      </c>
    </row>
    <row r="73" spans="1:11" ht="15" customHeight="1" x14ac:dyDescent="0.4">
      <c r="B73" s="12" t="str">
        <f>"(Numbers in "&amp;Data!C4&amp;Dashboard!G6&amp;")"</f>
        <v>(Numbers in 1000CNY)</v>
      </c>
      <c r="C73" s="272" t="s">
        <v>100</v>
      </c>
      <c r="D73" s="272"/>
      <c r="E73" s="286" t="s">
        <v>101</v>
      </c>
      <c r="F73" s="272"/>
      <c r="H73" s="286" t="s">
        <v>101</v>
      </c>
      <c r="I73" s="272"/>
      <c r="K73" s="24"/>
    </row>
    <row r="74" spans="1:11" ht="15" customHeight="1" x14ac:dyDescent="0.4">
      <c r="B74" s="3" t="s">
        <v>126</v>
      </c>
      <c r="C74" s="77">
        <f>Data!C6</f>
        <v>10760416</v>
      </c>
      <c r="D74" s="209"/>
      <c r="E74" s="238">
        <f>Inputs!E91</f>
        <v>10760416</v>
      </c>
      <c r="F74" s="209"/>
      <c r="H74" s="238">
        <f>Inputs!F91</f>
        <v>10760416</v>
      </c>
      <c r="I74" s="209"/>
      <c r="K74" s="24"/>
    </row>
    <row r="75" spans="1:11" ht="15" customHeight="1" x14ac:dyDescent="0.4">
      <c r="B75" s="104" t="s">
        <v>105</v>
      </c>
      <c r="C75" s="77">
        <f>Data!C8</f>
        <v>9307367</v>
      </c>
      <c r="D75" s="159">
        <f>C75/$C$74</f>
        <v>0.8649634921177769</v>
      </c>
      <c r="E75" s="238">
        <f>Inputs!E92</f>
        <v>9307367</v>
      </c>
      <c r="F75" s="160">
        <f>E75/E74</f>
        <v>0.8649634921177769</v>
      </c>
      <c r="H75" s="238">
        <f>Inputs!F92</f>
        <v>9307367</v>
      </c>
      <c r="I75" s="160">
        <f>H75/$H$74</f>
        <v>0.8649634921177769</v>
      </c>
      <c r="K75" s="24"/>
    </row>
    <row r="76" spans="1:11" ht="15" customHeight="1" x14ac:dyDescent="0.4">
      <c r="B76" s="35" t="s">
        <v>95</v>
      </c>
      <c r="C76" s="161">
        <f>C74-C75</f>
        <v>1453049</v>
      </c>
      <c r="D76" s="210"/>
      <c r="E76" s="162">
        <f>E74-E75</f>
        <v>1453049</v>
      </c>
      <c r="F76" s="210"/>
      <c r="H76" s="162">
        <f>H74-H75</f>
        <v>1453049</v>
      </c>
      <c r="I76" s="210"/>
      <c r="K76" s="24"/>
    </row>
    <row r="77" spans="1:11" ht="15" customHeight="1" x14ac:dyDescent="0.4">
      <c r="B77" s="104" t="s">
        <v>247</v>
      </c>
      <c r="C77" s="77">
        <f>Data!C10+MAX(Data!C11,0)</f>
        <v>1606631</v>
      </c>
      <c r="D77" s="159">
        <f>C77/$C$74</f>
        <v>0.14930937614307849</v>
      </c>
      <c r="E77" s="238">
        <f>Inputs!E93</f>
        <v>1606631</v>
      </c>
      <c r="F77" s="160">
        <f>E77/E74</f>
        <v>0.14930937614307849</v>
      </c>
      <c r="H77" s="238">
        <f>Inputs!F93</f>
        <v>1606631</v>
      </c>
      <c r="I77" s="160">
        <f>H77/$H$74</f>
        <v>0.14930937614307849</v>
      </c>
      <c r="K77" s="24"/>
    </row>
    <row r="78" spans="1:11" ht="15" customHeight="1" x14ac:dyDescent="0.4">
      <c r="B78" s="73" t="s">
        <v>172</v>
      </c>
      <c r="C78" s="77">
        <f>MAX(Data!C12,0)</f>
        <v>7761.333333333333</v>
      </c>
      <c r="D78" s="159">
        <f>C78/$C$74</f>
        <v>7.2128562067984476E-4</v>
      </c>
      <c r="E78" s="180">
        <f>E74*F78</f>
        <v>7761.3333333333321</v>
      </c>
      <c r="F78" s="160">
        <f>I78</f>
        <v>7.2128562067984476E-4</v>
      </c>
      <c r="H78" s="238">
        <f>Inputs!F97</f>
        <v>7761.3333333333321</v>
      </c>
      <c r="I78" s="160">
        <f>H78/$H$74</f>
        <v>7.2128562067984476E-4</v>
      </c>
      <c r="K78" s="24"/>
    </row>
    <row r="79" spans="1:11" ht="15" customHeight="1" x14ac:dyDescent="0.4">
      <c r="B79" s="256" t="s">
        <v>232</v>
      </c>
      <c r="C79" s="257">
        <f>C76-C77-C78</f>
        <v>-161343.33333333334</v>
      </c>
      <c r="D79" s="258">
        <f>C79/C74</f>
        <v>-1.4994153881535188E-2</v>
      </c>
      <c r="E79" s="259">
        <f>E76-E77-E78</f>
        <v>-161343.33333333334</v>
      </c>
      <c r="F79" s="258">
        <f>E79/E74</f>
        <v>-1.4994153881535188E-2</v>
      </c>
      <c r="G79" s="260"/>
      <c r="H79" s="259">
        <f>H76-H77-H78</f>
        <v>-161343.33333333334</v>
      </c>
      <c r="I79" s="258">
        <f>H79/H74</f>
        <v>-1.4994153881535188E-2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131</v>
      </c>
    </row>
    <row r="81" spans="1:11" ht="15" customHeight="1" x14ac:dyDescent="0.4">
      <c r="B81" s="104" t="s">
        <v>257</v>
      </c>
      <c r="C81" s="77">
        <f>MAX(Data!C17,0)</f>
        <v>25220</v>
      </c>
      <c r="D81" s="159">
        <f>C81/$C$74</f>
        <v>2.3437755566327548E-3</v>
      </c>
      <c r="E81" s="180">
        <f>E74*F81</f>
        <v>25220</v>
      </c>
      <c r="F81" s="160">
        <f>I81</f>
        <v>2.3437755566327548E-3</v>
      </c>
      <c r="H81" s="238">
        <f>Inputs!F94</f>
        <v>25220</v>
      </c>
      <c r="I81" s="160">
        <f>H81/$H$74</f>
        <v>2.3437755566327548E-3</v>
      </c>
      <c r="K81" s="24"/>
    </row>
    <row r="82" spans="1:11" ht="15" customHeight="1" x14ac:dyDescent="0.4">
      <c r="B82" s="28" t="s">
        <v>246</v>
      </c>
      <c r="C82" s="77">
        <f>ABS(MAX(Data!C21,0)-MAX(Data!C19,0))</f>
        <v>304353</v>
      </c>
      <c r="D82" s="159">
        <f>C82/$C$74</f>
        <v>2.8284501268352451E-2</v>
      </c>
      <c r="E82" s="238">
        <f>Inputs!E95</f>
        <v>304353</v>
      </c>
      <c r="F82" s="160">
        <f>E82/E74</f>
        <v>2.8284501268352451E-2</v>
      </c>
      <c r="H82" s="238">
        <f>Inputs!F95</f>
        <v>304353</v>
      </c>
      <c r="I82" s="160">
        <f>H82/$H$74</f>
        <v>2.8284501268352451E-2</v>
      </c>
      <c r="K82" s="24"/>
    </row>
    <row r="83" spans="1:11" ht="15" customHeight="1" thickBot="1" x14ac:dyDescent="0.45">
      <c r="B83" s="105" t="s">
        <v>125</v>
      </c>
      <c r="C83" s="163">
        <f>C79-C81-C82-C80</f>
        <v>-490916.33333333337</v>
      </c>
      <c r="D83" s="164">
        <f>C83/$C$74</f>
        <v>-4.5622430706520396E-2</v>
      </c>
      <c r="E83" s="165">
        <f>E79-E81-E82-E80</f>
        <v>-490916.33333333337</v>
      </c>
      <c r="F83" s="164">
        <f>E83/E74</f>
        <v>-4.5622430706520396E-2</v>
      </c>
      <c r="H83" s="165">
        <f>H79-H81-H82-H80</f>
        <v>-490916.33333333337</v>
      </c>
      <c r="I83" s="164">
        <f>H83/$H$74</f>
        <v>-4.5622430706520396E-2</v>
      </c>
      <c r="K83" s="24"/>
    </row>
    <row r="84" spans="1:11" ht="15" customHeight="1" thickTop="1" x14ac:dyDescent="0.4">
      <c r="B84" s="28" t="s">
        <v>96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164</v>
      </c>
      <c r="C85" s="257">
        <f>C83*(1-I84)</f>
        <v>-368187.25</v>
      </c>
      <c r="D85" s="258">
        <f>C85/$C$74</f>
        <v>-3.4216823029890292E-2</v>
      </c>
      <c r="E85" s="264">
        <f>E83*(1-F84)</f>
        <v>-368187.25</v>
      </c>
      <c r="F85" s="258">
        <f>E85/E74</f>
        <v>-3.4216823029890292E-2</v>
      </c>
      <c r="G85" s="260"/>
      <c r="H85" s="264">
        <f>H83*(1-I84)</f>
        <v>-368187.25</v>
      </c>
      <c r="I85" s="258">
        <f>H85/$H$74</f>
        <v>-3.4216823029890292E-2</v>
      </c>
      <c r="K85" s="24"/>
    </row>
    <row r="86" spans="1:11" ht="15" customHeight="1" x14ac:dyDescent="0.4">
      <c r="B86" s="87" t="s">
        <v>160</v>
      </c>
      <c r="C86" s="167">
        <f>C85*Data!C4/Common_Shares</f>
        <v>-0.46513236915389783</v>
      </c>
      <c r="D86" s="209"/>
      <c r="E86" s="168">
        <f>E85*Data!C4/Common_Shares</f>
        <v>-0.46513236915389783</v>
      </c>
      <c r="F86" s="209"/>
      <c r="H86" s="168">
        <f>H85*Data!C4/Common_Shares</f>
        <v>-0.46513236915389783</v>
      </c>
      <c r="I86" s="209"/>
      <c r="K86" s="24"/>
    </row>
    <row r="87" spans="1:11" ht="15" customHeight="1" x14ac:dyDescent="0.4">
      <c r="B87" s="87" t="s">
        <v>208</v>
      </c>
      <c r="C87" s="261">
        <f>C86*Exchange_Rate/Dashboard!G3</f>
        <v>-7.6934526266917436E-2</v>
      </c>
      <c r="D87" s="209"/>
      <c r="E87" s="262">
        <f>E86*Exchange_Rate/Dashboard!G3</f>
        <v>-7.6934526266917436E-2</v>
      </c>
      <c r="F87" s="209"/>
      <c r="H87" s="262">
        <f>H86*Exchange_Rate/Dashboard!G3</f>
        <v>-7.6934526266917436E-2</v>
      </c>
      <c r="I87" s="209"/>
      <c r="K87" s="24"/>
    </row>
    <row r="88" spans="1:11" ht="15" customHeight="1" x14ac:dyDescent="0.4">
      <c r="B88" s="86" t="s">
        <v>207</v>
      </c>
      <c r="C88" s="169">
        <f>Inputs!C44</f>
        <v>0.15820000000000001</v>
      </c>
      <c r="D88" s="166">
        <f>C88/C86</f>
        <v>-0.3401182340583494</v>
      </c>
      <c r="E88" s="170">
        <f>Inputs!E98</f>
        <v>0.15820000000000001</v>
      </c>
      <c r="F88" s="166">
        <f>E88/E86</f>
        <v>-0.3401182340583494</v>
      </c>
      <c r="H88" s="170">
        <f>Inputs!F98</f>
        <v>0.15820000000000001</v>
      </c>
      <c r="I88" s="166">
        <f>H88/H86</f>
        <v>-0.3401182340583494</v>
      </c>
      <c r="K88" s="24"/>
    </row>
    <row r="89" spans="1:11" ht="15" customHeight="1" x14ac:dyDescent="0.4">
      <c r="B89" s="87" t="s">
        <v>221</v>
      </c>
      <c r="C89" s="261">
        <f>C88*Exchange_Rate/Dashboard!G3</f>
        <v>2.6166835212019655E-2</v>
      </c>
      <c r="D89" s="209"/>
      <c r="E89" s="261">
        <f>E88*Exchange_Rate/Dashboard!G3</f>
        <v>2.6166835212019655E-2</v>
      </c>
      <c r="F89" s="209"/>
      <c r="H89" s="261">
        <f>H88*Exchange_Rate/Dashboard!G3</f>
        <v>2.6166835212019655E-2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8" t="str">
        <f>Inputs!C15</f>
        <v>CN</v>
      </c>
      <c r="D92" s="10" t="s">
        <v>156</v>
      </c>
      <c r="E92" s="285" t="s">
        <v>206</v>
      </c>
      <c r="F92" s="285"/>
      <c r="G92" s="87"/>
      <c r="H92" s="285" t="s">
        <v>205</v>
      </c>
      <c r="I92" s="285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8.6249999999999993E-2</v>
      </c>
      <c r="D93" s="239">
        <f>Inputs!C86</f>
        <v>5</v>
      </c>
      <c r="E93" s="87" t="s">
        <v>209</v>
      </c>
      <c r="F93" s="144">
        <f>FV(E87,D93,0,-(E86/(C93-D94)))*Exchange_Rate</f>
        <v>-5.0350317878641722</v>
      </c>
      <c r="H93" s="87" t="s">
        <v>209</v>
      </c>
      <c r="I93" s="144">
        <f>FV(H87,D93,0,-(H86/(C93-D94)))*Exchange_Rate</f>
        <v>-5.0350317878641722</v>
      </c>
      <c r="K93" s="24"/>
    </row>
    <row r="94" spans="1:11" ht="15" customHeight="1" x14ac:dyDescent="0.4">
      <c r="B94" s="1" t="s">
        <v>211</v>
      </c>
      <c r="C94" s="182">
        <f>Dashboard!G20</f>
        <v>0.15</v>
      </c>
      <c r="D94" s="270">
        <f>Inputs!D87</f>
        <v>0.02</v>
      </c>
      <c r="E94" s="87" t="s">
        <v>210</v>
      </c>
      <c r="F94" s="144">
        <f>FV(E89,D93,0,-(E88/(C93-D94)))*Exchange_Rate</f>
        <v>2.9077661074541803</v>
      </c>
      <c r="H94" s="87" t="s">
        <v>210</v>
      </c>
      <c r="I94" s="144">
        <f>FV(H89,D93,0,-(H88/(C93-D94)))*Exchange_Rate</f>
        <v>2.9077661074541803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3" t="str">
        <f>E72</f>
        <v>Pessimistic Case</v>
      </c>
      <c r="F96" s="227" t="s">
        <v>237</v>
      </c>
      <c r="H96" s="183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-1981550.7356895395</v>
      </c>
      <c r="D97" s="213"/>
      <c r="E97" s="123">
        <f>PV(C94,D93,0,-F93)</f>
        <v>-2.5033006664134207</v>
      </c>
      <c r="F97" s="213"/>
      <c r="H97" s="123">
        <f>PV(C94,D93,0,-I93)</f>
        <v>-2.5033006664134207</v>
      </c>
      <c r="I97" s="123">
        <f>PV(C93,D93,0,-I93)</f>
        <v>-3.3293025963808329</v>
      </c>
      <c r="K97" s="24"/>
    </row>
    <row r="98" spans="2:11" ht="15" customHeight="1" x14ac:dyDescent="0.4">
      <c r="B98" s="28" t="s">
        <v>144</v>
      </c>
      <c r="C98" s="91">
        <f>-E53*Exchange_Rate</f>
        <v>-68868.690839223942</v>
      </c>
      <c r="D98" s="213"/>
      <c r="E98" s="213"/>
      <c r="F98" s="213"/>
      <c r="H98" s="123">
        <f>C98*Data!$C$4/Common_Shares</f>
        <v>-8.7002082039982567E-2</v>
      </c>
      <c r="I98" s="215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114</v>
      </c>
      <c r="C100" s="91">
        <f>C97+C98+$C$99</f>
        <v>-2050419.4265287635</v>
      </c>
      <c r="D100" s="109">
        <f>MIN(F100*(1-C94),E100)</f>
        <v>0</v>
      </c>
      <c r="E100" s="109">
        <f>MAX(E97+H98+E99,0)</f>
        <v>0</v>
      </c>
      <c r="F100" s="109">
        <f>(E100+H100)/2</f>
        <v>0</v>
      </c>
      <c r="H100" s="109">
        <f>MAX(C100*Data!$C$4/Common_Shares,0)</f>
        <v>0</v>
      </c>
      <c r="I100" s="109">
        <f>MAX(I97+H98+H99,0)</f>
        <v>0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3" t="str">
        <f>E96</f>
        <v>Pessimistic Case</v>
      </c>
      <c r="F102" s="227" t="s">
        <v>237</v>
      </c>
      <c r="H102" s="183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1144359.4225813409</v>
      </c>
      <c r="D103" s="109">
        <f>MIN(F103*(1-C94),E103)</f>
        <v>1.2288226112678229</v>
      </c>
      <c r="E103" s="123">
        <f>PV(C94,D93,0,-F94)</f>
        <v>1.4456736603150857</v>
      </c>
      <c r="F103" s="109">
        <f>(E103+H103)/2</f>
        <v>1.4456736603150857</v>
      </c>
      <c r="H103" s="123">
        <f>PV(C94,D93,0,-I94)</f>
        <v>1.4456736603150857</v>
      </c>
      <c r="I103" s="109">
        <f>PV(C93,D93,0,-I94)</f>
        <v>1.922695557662395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4" t="str">
        <f>E96</f>
        <v>Pessimistic Case</v>
      </c>
      <c r="F105" s="227" t="s">
        <v>237</v>
      </c>
      <c r="H105" s="184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572179.71129067044</v>
      </c>
      <c r="D106" s="109">
        <f>(D100+D103)/2</f>
        <v>0.61441130563391144</v>
      </c>
      <c r="E106" s="123">
        <f>(E100+E103)/2</f>
        <v>0.72283683015754285</v>
      </c>
      <c r="F106" s="109">
        <f>(F100+F103)/2</f>
        <v>0.72283683015754285</v>
      </c>
      <c r="H106" s="123">
        <f>(H100+H103)/2</f>
        <v>0.72283683015754285</v>
      </c>
      <c r="I106" s="123">
        <f>(I100+I103)/2</f>
        <v>0.96134777883119749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Profit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2024-12-13T06:16:42Z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