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4C2F82C-D174-45B5-81B3-5F4E97049BF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E93" i="4"/>
  <c r="F91" i="4"/>
  <c r="F92" i="4" s="1"/>
  <c r="E91" i="4"/>
  <c r="E95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M52" i="2"/>
  <c r="F95" i="4" l="1"/>
  <c r="F96" i="4"/>
  <c r="E92" i="4"/>
  <c r="F97" i="4"/>
  <c r="F9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<sst xmlns="http://schemas.openxmlformats.org/spreadsheetml/2006/main" count="391" uniqueCount="270">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</sst>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30598124345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263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0762.HK</v>
      </c>
      <c r="D3" s="278"/>
      <c r="E3" s="87"/>
      <c r="F3" s="3" t="s">
        <v>1</v>
      </c>
      <c r="G3" s="132">
        <v>6.93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中国联通</v>
      </c>
      <c r="D4" s="280"/>
      <c r="E4" s="87"/>
      <c r="F4" s="3" t="s">
        <v>2</v>
      </c>
      <c r="G4" s="283">
        <f>Inputs!C10</f>
        <v>30598124345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212045.00171085002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0.14318056045909963</v>
      </c>
    </row>
    <row r="24" spans="1:8" ht="15.75" customHeight="1" x14ac:dyDescent="0.4">
      <c r="B24" s="137" t="s">
        <v>170</v>
      </c>
      <c r="C24" s="171">
        <f>Fin_Analysis!I81</f>
        <v>5.3167363129601151E-3</v>
      </c>
      <c r="F24" s="140" t="s">
        <v>260</v>
      </c>
      <c r="G24" s="268">
        <f>G3/(Fin_Analysis!H86*G7)</f>
        <v>24.154224121168276</v>
      </c>
    </row>
    <row r="25" spans="1:8" ht="15.75" customHeight="1" x14ac:dyDescent="0.4">
      <c r="B25" s="137" t="s">
        <v>243</v>
      </c>
      <c r="C25" s="171">
        <f>Fin_Analysis!I82</f>
        <v>0.22719184534497058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2.9355219356749174E-2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2.113101822160639</v>
      </c>
      <c r="D29" s="129">
        <f>G29*(1+G20)</f>
        <v>3.859639836037577</v>
      </c>
      <c r="E29" s="87"/>
      <c r="F29" s="131">
        <f>IF(Fin_Analysis!C108="Profit",Fin_Analysis!F100,IF(Fin_Analysis!C108="Dividend",Fin_Analysis!F103,Fin_Analysis!F106))</f>
        <v>2.486002143718399</v>
      </c>
      <c r="G29" s="274">
        <f>IF(Fin_Analysis!C108="Profit",Fin_Analysis!I100,IF(Fin_Analysis!C108="Dividend",Fin_Analysis!I103,Fin_Analysis!I106))</f>
        <v>3.3562085530761543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8.1030660594121687E-2</v>
      </c>
      <c r="D40" s="155">
        <f>IF(D6="","",D14/MAX(D39,0))</f>
        <v>8.1796793754077946E-2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0.73743481563190261</v>
      </c>
      <c r="D43" s="153">
        <f t="shared" si="35"/>
        <v>0.72369162459430225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5.3167363129601151E-3</v>
      </c>
      <c r="D45" s="153">
        <f t="shared" si="37"/>
        <v>3.0849936891453301E-3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7.0138335341758879E-4</v>
      </c>
      <c r="D46" s="153">
        <f t="shared" ref="D46:M46" si="38">IF(D6="","",MAX(D12,0)/D6)</f>
        <v>3.4559442240653928E-4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0.22719184534497058</v>
      </c>
      <c r="D47" s="153">
        <f t="shared" ref="D47:M47" si="39">IF(D6="","",ABS(MAX(D21,0)-MAX(D19,0))/D6)</f>
        <v>0.24436812567616301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2.9355219356749174E-2</v>
      </c>
      <c r="D48" s="153">
        <f t="shared" si="40"/>
        <v>2.8509661617982917E-2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0.27090663639267087</v>
      </c>
      <c r="D50" s="156">
        <f t="shared" si="41"/>
        <v>0.19278534078615217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3.3859639234883804E-2</v>
      </c>
      <c r="D51" s="153">
        <f t="shared" si="42"/>
        <v>3.3881401009736745E-2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0.11432702693285954</v>
      </c>
      <c r="D55" s="157">
        <f t="shared" si="45"/>
        <v>9.8308948776238456E-2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0.18111724011824573</v>
      </c>
      <c r="D56" s="153">
        <f t="shared" si="46"/>
        <v>0.10820870940114637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-25337.285419201875</v>
      </c>
      <c r="E6" s="56">
        <f>1-D6/D3</f>
        <v>1.0183090201595686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232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160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4.1400626034748936E-2</v>
      </c>
      <c r="D87" s="209"/>
      <c r="E87" s="262">
        <f>E86*Exchange_Rate/Dashboard!G3</f>
        <v>4.1400626034748936E-2</v>
      </c>
      <c r="F87" s="209"/>
      <c r="H87" s="262">
        <f>H86*Exchange_Rate/Dashboard!G3</f>
        <v>4.1400626034748936E-2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5.3044875249774561</v>
      </c>
      <c r="H93" s="87" t="s">
        <v>209</v>
      </c>
      <c r="I93" s="144">
        <f>FV(H87,D93,0,-(H86/(C93-D94)))*Exchange_Rate</f>
        <v>5.3044875249774561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80695.447772506363</v>
      </c>
      <c r="D97" s="213"/>
      <c r="E97" s="123">
        <f>PV(C94,D93,0,-F93)</f>
        <v>2.6372677900987975</v>
      </c>
      <c r="F97" s="213"/>
      <c r="H97" s="123">
        <f>PV(C94,D93,0,-I93)</f>
        <v>2.6372677900987975</v>
      </c>
      <c r="I97" s="123">
        <f>PV(C93,D93,0,-I93)</f>
        <v>3.5074741994565528</v>
      </c>
      <c r="K97" s="24"/>
    </row>
    <row r="98" spans="2:11" ht="15" customHeight="1" x14ac:dyDescent="0.4">
      <c r="B98" s="28" t="s">
        <v>144</v>
      </c>
      <c r="C98" s="91">
        <f>-E53*Exchange_Rate</f>
        <v>-4628.4450570742283</v>
      </c>
      <c r="D98" s="213"/>
      <c r="E98" s="213"/>
      <c r="F98" s="213"/>
      <c r="H98" s="123">
        <f>C98*Data!$C$4/Common_Shares</f>
        <v>-0.15126564638039836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76067.002715432129</v>
      </c>
      <c r="D100" s="109">
        <f>MIN(F100*(1-C94),E100)</f>
        <v>2.113101822160639</v>
      </c>
      <c r="E100" s="109">
        <f>MAX(E97+H98+E99,0)</f>
        <v>2.486002143718399</v>
      </c>
      <c r="F100" s="109">
        <f>(E100+H100)/2</f>
        <v>2.486002143718399</v>
      </c>
      <c r="H100" s="109">
        <f>MAX(C100*Data!$C$4/Common_Shares,0)</f>
        <v>2.486002143718399</v>
      </c>
      <c r="I100" s="109">
        <f>MAX(I97+H98+H99,0)</f>
        <v>3.3562085530761543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38033.501357716064</v>
      </c>
      <c r="D106" s="109">
        <f>(D100+D103)/2</f>
        <v>1.0565509110803195</v>
      </c>
      <c r="E106" s="123">
        <f>(E100+E103)/2</f>
        <v>1.2430010718591995</v>
      </c>
      <c r="F106" s="109">
        <f>(F100+F103)/2</f>
        <v>1.2430010718591995</v>
      </c>
      <c r="H106" s="123">
        <f>(H100+H103)/2</f>
        <v>1.2430010718591995</v>
      </c>
      <c r="I106" s="123">
        <f>(I100+I103)/2</f>
        <v>1.6781042765380771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