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10B3F6-59C5-4795-922F-F7C10A7C1C1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3" i="4"/>
  <c r="E93" i="4"/>
  <c r="F92" i="4"/>
  <c r="F91" i="4"/>
  <c r="F97" i="4" s="1"/>
  <c r="E91" i="4"/>
  <c r="E92" i="4" s="1"/>
  <c r="D71" i="4"/>
  <c r="D69" i="4"/>
  <c r="D68" i="4"/>
  <c r="C68" i="4"/>
  <c r="D67" i="4"/>
  <c r="C65" i="4"/>
  <c r="D63" i="4"/>
  <c r="D62" i="4"/>
  <c r="D61" i="4"/>
  <c r="D60" i="4"/>
  <c r="D59" i="4"/>
  <c r="D58" i="4"/>
  <c r="C58" i="4"/>
  <c r="D55" i="4"/>
  <c r="D50" i="4"/>
  <c r="D56" i="4" s="1"/>
  <c r="C50" i="4"/>
  <c r="F44" i="4"/>
  <c r="D27" i="4"/>
  <c r="C27" i="4"/>
  <c r="M52" i="2"/>
  <c r="F94" i="4" l="1"/>
  <c r="F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<sst xmlns="http://schemas.openxmlformats.org/spreadsheetml/2006/main" count="391" uniqueCount="270">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</sst>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0.45236920614696147</c:v>
                </c:pt>
                <c:pt idx="1">
                  <c:v>0.75804302562269843</c:v>
                </c:pt>
                <c:pt idx="2">
                  <c:v>0</c:v>
                </c:pt>
                <c:pt idx="3">
                  <c:v>0</c:v>
                </c:pt>
                <c:pt idx="4">
                  <c:v>1.4464238544369687E-2</c:v>
                </c:pt>
                <c:pt idx="5">
                  <c:v>0</c:v>
                </c:pt>
                <c:pt idx="6">
                  <c:v>-0.22487647031402955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266</v>
      </c>
    </row>
    <row r="5" spans="1:5" ht="13.9" x14ac:dyDescent="0.4">
      <c r="B5" s="141" t="s">
        <v>196</v>
      </c>
      <c r="C5" s="191" t="s">
        <v>267</v>
      </c>
    </row>
    <row r="6" spans="1:5" ht="13.9" x14ac:dyDescent="0.4">
      <c r="B6" s="141" t="s">
        <v>164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1826710016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0.30120481927710846</v>
      </c>
      <c r="D45" s="152">
        <f>IF(D44="","",D44*Exchange_Rate/Dashboard!$G$3)</f>
        <v>2.0481881362457773E-2</v>
      </c>
      <c r="E45" s="152">
        <f>IF(E44="","",E44*Exchange_Rate/Dashboard!$G$3)</f>
        <v>4.8192771084337352E-2</v>
      </c>
      <c r="F45" s="152">
        <f>IF(F44="","",F44*Exchange_Rate/Dashboard!$G$3)</f>
        <v>0.20481927710843376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922361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179879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27002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512565+1009</f>
        <v>513574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187576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11428</v>
      </c>
      <c r="D70" s="60">
        <v>0.05</v>
      </c>
      <c r="E70" s="112"/>
    </row>
    <row r="71" spans="2:5" ht="13.9" x14ac:dyDescent="0.4">
      <c r="B71" s="3" t="s">
        <v>75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7278</v>
      </c>
      <c r="D72" s="248">
        <v>0</v>
      </c>
      <c r="E72" s="249"/>
    </row>
    <row r="73" spans="2:5" ht="13.9" x14ac:dyDescent="0.4">
      <c r="B73" s="3" t="s">
        <v>39</v>
      </c>
      <c r="C73" s="59">
        <v>1149</v>
      </c>
    </row>
    <row r="74" spans="2:5" ht="13.9" x14ac:dyDescent="0.4">
      <c r="B74" s="3" t="s">
        <v>40</v>
      </c>
      <c r="C74" s="59">
        <v>13306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62</v>
      </c>
      <c r="C78" s="59">
        <v>70891</v>
      </c>
    </row>
    <row r="79" spans="2:5" ht="13.9" x14ac:dyDescent="0.4">
      <c r="B79" s="3" t="s">
        <v>64</v>
      </c>
      <c r="C79" s="59">
        <v>24307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95903</v>
      </c>
    </row>
    <row r="83" spans="2:8" ht="14.25" thickTop="1" x14ac:dyDescent="0.4">
      <c r="B83" s="73" t="s">
        <v>221</v>
      </c>
      <c r="C83" s="59">
        <v>3570139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106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248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258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0806.HK</v>
      </c>
      <c r="D3" s="278"/>
      <c r="E3" s="87"/>
      <c r="F3" s="3" t="s">
        <v>1</v>
      </c>
      <c r="G3" s="132">
        <v>1.66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VALUE PARTNERS</v>
      </c>
      <c r="D4" s="280"/>
      <c r="E4" s="87"/>
      <c r="F4" s="3" t="s">
        <v>3</v>
      </c>
      <c r="G4" s="283">
        <f>Inputs!C10</f>
        <v>1826710016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45636</v>
      </c>
      <c r="D5" s="282"/>
      <c r="E5" s="34"/>
      <c r="F5" s="35" t="s">
        <v>100</v>
      </c>
      <c r="G5" s="275">
        <f>G3*G4/1000000</f>
        <v>3032.3386265599997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0.45236920614696147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0.75804302562269843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0.84936150288826284</v>
      </c>
    </row>
    <row r="24" spans="1:8" ht="15.75" customHeight="1" x14ac:dyDescent="0.4">
      <c r="B24" s="137" t="s">
        <v>171</v>
      </c>
      <c r="C24" s="171">
        <f>Fin_Analysis!I81</f>
        <v>1.4464238544369687E-2</v>
      </c>
      <c r="F24" s="140" t="s">
        <v>261</v>
      </c>
      <c r="G24" s="268">
        <f>G3/(Fin_Analysis!H86*G7)</f>
        <v>-34.920997493039899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-0.63110236433204636</v>
      </c>
    </row>
    <row r="26" spans="1:8" ht="15.75" customHeight="1" x14ac:dyDescent="0.4">
      <c r="B26" s="138" t="s">
        <v>174</v>
      </c>
      <c r="C26" s="171">
        <f>Fin_Analysis!I83</f>
        <v>-0.22487647031402955</v>
      </c>
      <c r="F26" s="141" t="s">
        <v>194</v>
      </c>
      <c r="G26" s="178">
        <f>Fin_Analysis!H88*Exchange_Rate/G3</f>
        <v>1.8072289156626505E-2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0.53933989201161325</v>
      </c>
      <c r="D29" s="129">
        <f>G29*(1+G20)</f>
        <v>0.70056156423936955</v>
      </c>
      <c r="E29" s="87"/>
      <c r="F29" s="131">
        <f>IF(Fin_Analysis!C108="Profit",Fin_Analysis!F100,IF(Fin_Analysis!C108="Dividend",Fin_Analysis!F103,Fin_Analysis!F106))</f>
        <v>0.63451752001366268</v>
      </c>
      <c r="G29" s="274">
        <f>IF(Fin_Analysis!C108="Profit",Fin_Analysis!I100,IF(Fin_Analysis!C108="Dividend",Fin_Analysis!I103,Fin_Analysis!I106))</f>
        <v>0.60918396890379967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-0.28319944370230754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0.28061826996286338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5.0735797353543811E-2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-1.0558671445377692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-6.4320818110365441E-2</v>
      </c>
      <c r="D56" s="153">
        <f t="shared" si="46"/>
        <v>-3.5130919589818468E-2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13.425836564396494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3570139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13.425836564396494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1893640.4</v>
      </c>
      <c r="E6" s="56">
        <f>1-D6/D3</f>
        <v>0.46958916725651301</v>
      </c>
      <c r="F6" s="87"/>
      <c r="G6" s="87"/>
      <c r="H6" s="1" t="s">
        <v>30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31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39</v>
      </c>
      <c r="I11" s="40">
        <f>Inputs!C73</f>
        <v>1149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13306</v>
      </c>
      <c r="J12" s="87"/>
      <c r="K12" s="24"/>
    </row>
    <row r="13" spans="1:11" ht="13.9" x14ac:dyDescent="0.4">
      <c r="B13" s="3" t="s">
        <v>117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14455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55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56</v>
      </c>
      <c r="I25" s="63">
        <f>E28/I28</f>
        <v>10.830421864463924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60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70891</v>
      </c>
      <c r="J30" s="87"/>
    </row>
    <row r="31" spans="2:10" ht="15" customHeight="1" x14ac:dyDescent="0.4">
      <c r="B31" s="3" t="s">
        <v>63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64</v>
      </c>
      <c r="I31" s="40">
        <f>Inputs!C79</f>
        <v>24307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95198</v>
      </c>
      <c r="J34" s="87"/>
    </row>
    <row r="35" spans="2:10" ht="13.9" x14ac:dyDescent="0.4">
      <c r="B35" s="3" t="s">
        <v>70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81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83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85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86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109653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106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96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161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-2.8636066315096239E-2</v>
      </c>
      <c r="D87" s="209"/>
      <c r="E87" s="262">
        <f>E86*Exchange_Rate/Dashboard!G3</f>
        <v>-2.8636066315096239E-2</v>
      </c>
      <c r="F87" s="209"/>
      <c r="H87" s="262">
        <f>H86*Exchange_Rate/Dashboard!G3</f>
        <v>-2.8636066315096239E-2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222</v>
      </c>
      <c r="C89" s="261">
        <f>C88*Exchange_Rate/Dashboard!G3</f>
        <v>0.30120481927710846</v>
      </c>
      <c r="D89" s="209"/>
      <c r="E89" s="261">
        <f>E88*Exchange_Rate/Dashboard!G3</f>
        <v>0</v>
      </c>
      <c r="F89" s="209"/>
      <c r="H89" s="261">
        <f>H88*Exchange_Rate/Dashboard!G3</f>
        <v>1.8072289156626505E-2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210</v>
      </c>
      <c r="F93" s="144">
        <f>FV(E87,D93,0,-(E86/(C93-D94)))*Exchange_Rate</f>
        <v>-0.62050521561068606</v>
      </c>
      <c r="H93" s="87" t="s">
        <v>210</v>
      </c>
      <c r="I93" s="144">
        <f>FV(H87,D93,0,-(H86/(C93-D94)))*Exchange_Rate</f>
        <v>-0.62050521561068606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0.49525452810727449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-563541.42336356163</v>
      </c>
      <c r="D97" s="213"/>
      <c r="E97" s="123">
        <f>PV(C94,D93,0,-F93)</f>
        <v>-0.30850075733288235</v>
      </c>
      <c r="F97" s="213"/>
      <c r="H97" s="123">
        <f>PV(C94,D93,0,-I93)</f>
        <v>-0.30850075733288235</v>
      </c>
      <c r="I97" s="123">
        <f>PV(C93,D93,0,-I93)</f>
        <v>-0.410295249849222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1298751.4766364382</v>
      </c>
      <c r="D100" s="109">
        <f>MIN(F100*(1-C94),E100)</f>
        <v>0.53933989201161325</v>
      </c>
      <c r="E100" s="109">
        <f>MAX(E97+H98+E99,0)</f>
        <v>0.55805657860718605</v>
      </c>
      <c r="F100" s="109">
        <f>(E100+H100)/2</f>
        <v>0.63451752001366268</v>
      </c>
      <c r="H100" s="109">
        <f>MAX(C100*Data!$C$4/Common_Shares,0)</f>
        <v>0.71097846142013932</v>
      </c>
      <c r="I100" s="109">
        <f>MAX(I97+H98+H99,0)</f>
        <v>0.60918396890379967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449789.03428256058</v>
      </c>
      <c r="D103" s="109">
        <f>MIN(F103*(1-C94),E103)</f>
        <v>0</v>
      </c>
      <c r="E103" s="123">
        <f>PV(C94,D93,0,-F94)</f>
        <v>0</v>
      </c>
      <c r="F103" s="109">
        <f>(E103+H103)/2</f>
        <v>0.12311451471303494</v>
      </c>
      <c r="H103" s="123">
        <f>PV(C94,D93,0,-I94)</f>
        <v>0.24622902942606989</v>
      </c>
      <c r="I103" s="109">
        <f>PV(C93,D93,0,-I94)</f>
        <v>0.32747602314470103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509703.77081821905</v>
      </c>
      <c r="D106" s="109">
        <f>(D100+D103)/2</f>
        <v>0.26966994600580663</v>
      </c>
      <c r="E106" s="123">
        <f>(E100+E103)/2</f>
        <v>0.27902828930359302</v>
      </c>
      <c r="F106" s="109">
        <f>(F100+F103)/2</f>
        <v>0.3788160173633488</v>
      </c>
      <c r="H106" s="123">
        <f>(H100+H103)/2</f>
        <v>0.47860374542310458</v>
      </c>
      <c r="I106" s="123">
        <f>(I100+I103)/2</f>
        <v>0.46832999602425035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