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8670808-5EFB-4996-B4B6-D8550E6B732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32" i="4"/>
  <c r="C32" i="4"/>
  <c r="D31" i="4"/>
  <c r="C31" i="4"/>
  <c r="D27" i="4"/>
  <c r="C27" i="4"/>
  <c r="M52" i="2"/>
  <c r="F95" i="4" l="1"/>
  <c r="F97" i="4"/>
  <c r="F96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D100" i="3" s="1"/>
  <c r="H106" i="3"/>
  <c r="F106" i="3" l="1"/>
  <c r="F29" i="1" s="1"/>
  <c r="D106" i="3"/>
  <c r="C29" i="1" s="1"/>
</calcChain>
</file>

<file path=xl/sharedStrings.xml><?xml version="1.0" encoding="utf-8"?>
<sst xmlns="http://schemas.openxmlformats.org/spreadsheetml/2006/main" count="392" uniqueCount="271">
  <si>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</si>
  <si>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</si>
  <si>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</si>
  <si>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</si>
  <si>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</si>
  <si>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</si>
  <si>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</si>
  <si>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</si>
  <si>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</si>
  <si>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</si>
  <si>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</si>
  <si>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</si>
  <si>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</si>
  <si>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</si>
  <si>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</si>
  <si>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</si>
  <si>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</si>
  <si>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</si>
  <si>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</si>
  <si>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</si>
  <si>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</si>
  <si>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</si>
  <si>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</si>
  <si>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</si>
  <si>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</si>
  <si>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</si>
  <si>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</si>
  <si>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</si>
  <si>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</si>
  <si>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</si>
  <si>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</si>
  <si>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</si>
  <si>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</si>
  <si>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</si>
  <si>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</si>
  <si>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</si>
  <si>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</si>
  <si>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</si>
  <si>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</si>
  <si>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</si>
  <si>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</si>
  <si>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</si>
  <si>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</si>
  <si>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</si>
  <si>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</si>
  <si>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</si>
  <si>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</si>
  <si>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</si>
  <si>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</si>
  <si>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</si>
  <si>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</si>
  <si>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</si>
  <si>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</si>
  <si>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</si>
  <si>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</si>
  <si>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</si>
  <si>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</si>
  <si>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</si>
  <si>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</si>
  <si>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</si>
  <si>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</si>
  <si>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</si>
  <si>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</si>
  <si>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</si>
  <si>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</si>
  <si>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</si>
  <si>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</si>
  <si>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</si>
  <si>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</si>
  <si>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</si>
  <si>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</si>
  <si>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</si>
  <si>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</si>
  <si>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</si>
  <si>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</si>
  <si>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</si>
  <si>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</si>
  <si>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</si>
  <si>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</si>
  <si>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</si>
  <si>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</si>
  <si>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</si>
  <si>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</si>
  <si>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</si>
  <si>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</si>
  <si>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</si>
  <si>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</si>
  <si>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</si>
  <si>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</si>
  <si>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</si>
  <si>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</si>
  <si>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</si>
  <si>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</si>
  <si>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</si>
  <si>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</si>
  <si>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</si>
  <si>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</si>
  <si>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</si>
  <si>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</si>
  <si>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</si>
  <si>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</si>
  <si>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</si>
  <si>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</si>
  <si>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</si>
  <si>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</si>
  <si>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</si>
  <si>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</si>
  <si>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</si>
  <si>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</si>
  <si>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</si>
  <si>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</si>
  <si>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</si>
  <si>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</si>
  <si>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</si>
  <si>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</si>
  <si>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</si>
  <si>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</si>
  <si>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</si>
  <si>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</si>
  <si>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</si>
  <si>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</si>
  <si>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</si>
  <si>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</si>
  <si>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</si>
  <si>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</si>
  <si>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</si>
  <si>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</si>
  <si>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</si>
  <si>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</si>
  <si>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</si>
  <si>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</si>
  <si>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</si>
  <si>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</si>
  <si>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</si>
  <si>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</si>
  <si>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</si>
  <si>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</si>
  <si>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</si>
  <si>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</si>
  <si>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</si>
  <si>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</si>
  <si>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</si>
  <si>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</si>
  <si>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</si>
  <si>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</si>
  <si>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</si>
  <si>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</si>
  <si>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</si>
  <si>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</si>
  <si>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</si>
  <si>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</si>
  <si>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</si>
  <si>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</si>
  <si>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</si>
  <si>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</si>
  <si>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</si>
  <si>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</si>
  <si>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</si>
  <si>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</si>
  <si>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</si>
  <si>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</si>
  <si>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</si>
  <si>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</si>
  <si>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</si>
  <si>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</si>
  <si>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</si>
  <si>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</si>
  <si>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</si>
  <si>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</si>
  <si>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</si>
  <si>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</si>
  <si>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</si>
  <si>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</si>
  <si>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</si>
  <si>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</si>
  <si>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</si>
  <si>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</si>
  <si>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</si>
  <si>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</si>
  <si>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</si>
  <si>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</si>
  <si>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</si>
  <si>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</si>
  <si>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</si>
  <si>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</si>
  <si>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</si>
  <si>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</si>
  <si>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</si>
  <si>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</si>
  <si>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</si>
  <si>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</si>
  <si>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</si>
  <si>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</si>
  <si>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</si>
  <si>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</si>
  <si>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</si>
  <si>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</si>
  <si>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</si>
  <si>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</si>
  <si>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</si>
  <si>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</si>
  <si>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</si>
  <si>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</si>
  <si>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</si>
  <si>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</si>
  <si>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</si>
  <si>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</si>
  <si>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</si>
  <si>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</si>
  <si>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</si>
  <si>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</si>
  <si>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</si>
  <si>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</si>
  <si>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</si>
  <si>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</si>
  <si>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</si>
  <si>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</si>
  <si>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</si>
  <si>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</si>
  <si>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</si>
  <si>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</si>
  <si>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</si>
  <si>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</si>
  <si>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</si>
  <si>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</si>
  <si>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</si>
  <si>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</si>
  <si>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</si>
  <si>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</si>
  <si>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</si>
  <si>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</si>
  <si>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</si>
  <si>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</si>
  <si>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</si>
  <si>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</si>
  <si>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</si>
  <si>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</si>
  <si>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</si>
  <si>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</si>
  <si>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</si>
  <si>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</si>
  <si>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</si>
  <si>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</si>
  <si>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</si>
  <si>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</si>
  <si>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</si>
  <si>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</si>
  <si>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</si>
  <si>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</si>
  <si>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</si>
  <si>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</si>
  <si>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</si>
  <si>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</si>
  <si>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</si>
  <si>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</si>
  <si>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</si>
  <si>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</si>
  <si>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</si>
  <si>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</si>
  <si>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</si>
  <si>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</si>
  <si>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</si>
  <si>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</si>
  <si>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0831.HK</t>
  </si>
  <si>
    <t>利亞零售</t>
  </si>
  <si>
    <t>C0007</t>
  </si>
  <si>
    <t>HK Tax Rate</t>
  </si>
  <si>
    <t>disagree</t>
  </si>
  <si>
    <t>Commodity-type Business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</si>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</sst>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0.46570281556597115</c:v>
                </c:pt>
                <c:pt idx="1">
                  <c:v>0.49096154234108225</c:v>
                </c:pt>
                <c:pt idx="2">
                  <c:v>0</c:v>
                </c:pt>
                <c:pt idx="3">
                  <c:v>3.9525516276755275E-2</c:v>
                </c:pt>
                <c:pt idx="4">
                  <c:v>0</c:v>
                </c:pt>
                <c:pt idx="5">
                  <c:v>0.11560295610891069</c:v>
                </c:pt>
                <c:pt idx="6">
                  <c:v>-0.11179283029271934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263</v>
      </c>
    </row>
    <row r="5" spans="1:5" ht="13.9" x14ac:dyDescent="0.4">
      <c r="B5" s="141" t="s">
        <v>196</v>
      </c>
      <c r="C5" s="191" t="s">
        <v>264</v>
      </c>
    </row>
    <row r="6" spans="1:5" ht="13.9" x14ac:dyDescent="0.4">
      <c r="B6" s="141" t="s">
        <v>164</v>
      </c>
      <c r="C6" s="189">
        <v>45624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71</v>
      </c>
      <c r="E8" s="267"/>
    </row>
    <row r="9" spans="1:5" ht="13.9" x14ac:dyDescent="0.4">
      <c r="B9" s="140" t="s">
        <v>217</v>
      </c>
      <c r="C9" s="192" t="s">
        <v>265</v>
      </c>
    </row>
    <row r="10" spans="1:5" ht="13.9" x14ac:dyDescent="0.4">
      <c r="B10" s="140" t="s">
        <v>218</v>
      </c>
      <c r="C10" s="193">
        <v>777416974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256</v>
      </c>
      <c r="C15" s="176" t="s">
        <v>190</v>
      </c>
    </row>
    <row r="16" spans="1:5" ht="13.9" x14ac:dyDescent="0.4">
      <c r="B16" s="222" t="s">
        <v>97</v>
      </c>
      <c r="C16" s="223">
        <v>0.16500000000000001</v>
      </c>
      <c r="D16" s="24" t="s">
        <v>266</v>
      </c>
    </row>
    <row r="17" spans="2:13" ht="13.9" x14ac:dyDescent="0.4">
      <c r="B17" s="240" t="s">
        <v>225</v>
      </c>
      <c r="C17" s="242" t="s">
        <v>267</v>
      </c>
      <c r="D17" s="24"/>
    </row>
    <row r="18" spans="2:13" ht="13.9" x14ac:dyDescent="0.4">
      <c r="B18" s="240" t="s">
        <v>239</v>
      </c>
      <c r="C18" s="242" t="s">
        <v>246</v>
      </c>
      <c r="D18" s="24"/>
    </row>
    <row r="19" spans="2:13" ht="13.9" x14ac:dyDescent="0.4">
      <c r="B19" s="240" t="s">
        <v>240</v>
      </c>
      <c r="C19" s="242" t="s">
        <v>246</v>
      </c>
      <c r="D19" s="24"/>
    </row>
    <row r="20" spans="2:13" ht="13.9" x14ac:dyDescent="0.4">
      <c r="B20" s="241" t="s">
        <v>229</v>
      </c>
      <c r="C20" s="242" t="s">
        <v>246</v>
      </c>
      <c r="D20" s="24"/>
    </row>
    <row r="21" spans="2:13" ht="13.9" x14ac:dyDescent="0.4">
      <c r="B21" s="224" t="s">
        <v>232</v>
      </c>
      <c r="C21" s="242" t="s">
        <v>267</v>
      </c>
      <c r="D21" s="24"/>
    </row>
    <row r="22" spans="2:13" ht="78.75" x14ac:dyDescent="0.4">
      <c r="B22" s="226" t="s">
        <v>231</v>
      </c>
      <c r="C22" s="243" t="s">
        <v>268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1487090</v>
      </c>
      <c r="D25" s="149">
        <v>1462864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692542</v>
      </c>
      <c r="D26" s="150">
        <v>723325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f>533247+84045+112812</f>
        <v>730104</v>
      </c>
      <c r="D27" s="150">
        <f>468717+87819+109122</f>
        <v>665658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>
        <f>287520-228742</f>
        <v>58778</v>
      </c>
      <c r="D31" s="150">
        <f>283189-244840</f>
        <v>38349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>
        <f>45846+161146+2947</f>
        <v>209939</v>
      </c>
      <c r="D32" s="150">
        <f>42318+145169+2947</f>
        <v>190434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>
        <v>38027</v>
      </c>
      <c r="D33" s="150">
        <v>60606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0.02+0.04</f>
        <v>0.06</v>
      </c>
      <c r="D44" s="250">
        <f>0.05+0.02</f>
        <v>7.0000000000000007E-2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0.14634146341463414</v>
      </c>
      <c r="D45" s="152">
        <f>IF(D44="","",D44*Exchange_Rate/Dashboard!$G$3)</f>
        <v>0.17073170731707318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261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260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269</v>
      </c>
      <c r="D87" s="269">
        <v>0.02</v>
      </c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1487090</v>
      </c>
      <c r="D91" s="209"/>
      <c r="E91" s="251">
        <f>C91</f>
        <v>1487090</v>
      </c>
      <c r="F91" s="251">
        <f>C91</f>
        <v>1487090</v>
      </c>
    </row>
    <row r="92" spans="2:8" ht="13.9" x14ac:dyDescent="0.4">
      <c r="B92" s="104" t="s">
        <v>106</v>
      </c>
      <c r="C92" s="77">
        <f>C26</f>
        <v>692542</v>
      </c>
      <c r="D92" s="159">
        <f>C92/C91</f>
        <v>0.46570281556597115</v>
      </c>
      <c r="E92" s="252">
        <f>E91*D92</f>
        <v>692542</v>
      </c>
      <c r="F92" s="252">
        <f>F91*D92</f>
        <v>692542</v>
      </c>
    </row>
    <row r="93" spans="2:8" ht="13.9" x14ac:dyDescent="0.4">
      <c r="B93" s="104" t="s">
        <v>248</v>
      </c>
      <c r="C93" s="77">
        <f>C27+C28</f>
        <v>730104</v>
      </c>
      <c r="D93" s="159">
        <f>C93/C91</f>
        <v>0.49096154234108225</v>
      </c>
      <c r="E93" s="252">
        <f>E91*D93</f>
        <v>730104</v>
      </c>
      <c r="F93" s="252">
        <f>F91*D93</f>
        <v>730104</v>
      </c>
    </row>
    <row r="94" spans="2:8" ht="13.9" x14ac:dyDescent="0.4">
      <c r="B94" s="104" t="s">
        <v>257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247</v>
      </c>
      <c r="C95" s="77">
        <f>ABS(MAX(C33,0)-C32)</f>
        <v>171912</v>
      </c>
      <c r="D95" s="159">
        <f>C95/C91</f>
        <v>0.11560295610891069</v>
      </c>
      <c r="E95" s="252">
        <f>E91*D95</f>
        <v>171912</v>
      </c>
      <c r="F95" s="252">
        <f>F91*D95</f>
        <v>171912</v>
      </c>
    </row>
    <row r="96" spans="2:8" ht="13.9" x14ac:dyDescent="0.4">
      <c r="B96" s="28" t="s">
        <v>110</v>
      </c>
      <c r="C96" s="77">
        <f>MAX(C31,0)</f>
        <v>58778</v>
      </c>
      <c r="D96" s="159">
        <f>C96/C91</f>
        <v>3.9525516276755275E-2</v>
      </c>
      <c r="E96" s="253"/>
      <c r="F96" s="252">
        <f>F91*D96</f>
        <v>58778</v>
      </c>
    </row>
    <row r="97" spans="2:7" ht="13.9" x14ac:dyDescent="0.4">
      <c r="B97" s="73" t="s">
        <v>173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208</v>
      </c>
      <c r="C98" s="237">
        <f>C44</f>
        <v>0.06</v>
      </c>
      <c r="D98" s="266"/>
      <c r="E98" s="254">
        <v>0</v>
      </c>
      <c r="F98" s="254">
        <f>C98</f>
        <v>0.06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0831.HK : 利亞零售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0831.HK</v>
      </c>
      <c r="D3" s="278"/>
      <c r="E3" s="87"/>
      <c r="F3" s="3" t="s">
        <v>1</v>
      </c>
      <c r="G3" s="132">
        <v>0.41</v>
      </c>
      <c r="H3" s="134" t="s">
        <v>270</v>
      </c>
    </row>
    <row r="4" spans="1:10" ht="15.75" customHeight="1" x14ac:dyDescent="0.4">
      <c r="B4" s="35" t="s">
        <v>196</v>
      </c>
      <c r="C4" s="279" t="str">
        <f>Inputs!C5</f>
        <v>利亞零售</v>
      </c>
      <c r="D4" s="280"/>
      <c r="E4" s="87"/>
      <c r="F4" s="3" t="s">
        <v>3</v>
      </c>
      <c r="G4" s="283">
        <f>Inputs!C10</f>
        <v>777416974</v>
      </c>
      <c r="H4" s="283"/>
      <c r="I4" s="39"/>
    </row>
    <row r="5" spans="1:10" ht="15.75" customHeight="1" x14ac:dyDescent="0.4">
      <c r="B5" s="3" t="s">
        <v>164</v>
      </c>
      <c r="C5" s="281">
        <f>Inputs!C6</f>
        <v>45624</v>
      </c>
      <c r="D5" s="282"/>
      <c r="E5" s="34"/>
      <c r="F5" s="35" t="s">
        <v>100</v>
      </c>
      <c r="G5" s="275">
        <f>G3*G4/1000000</f>
        <v>318.74095933999996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N</v>
      </c>
      <c r="D7" s="187" t="str">
        <f>Inputs!C9</f>
        <v>C0007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4.2000000000000003E-2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5.2299999999999999E-2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254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1.8100000000000002E-2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255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0.46570281556597115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0.49096154234108225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3.9525516276755275E-2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0</v>
      </c>
      <c r="F24" s="140" t="s">
        <v>259</v>
      </c>
      <c r="G24" s="268">
        <f>G3/(Fin_Analysis!H86*G7)</f>
        <v>-2.2961496806442452</v>
      </c>
    </row>
    <row r="25" spans="1:8" ht="15.75" customHeight="1" x14ac:dyDescent="0.4">
      <c r="B25" s="137" t="s">
        <v>244</v>
      </c>
      <c r="C25" s="171">
        <f>Fin_Analysis!I82</f>
        <v>0.11560295610891069</v>
      </c>
      <c r="F25" s="140" t="s">
        <v>175</v>
      </c>
      <c r="G25" s="171">
        <f>Fin_Analysis!I88</f>
        <v>-0.33602190448452368</v>
      </c>
    </row>
    <row r="26" spans="1:8" ht="15.75" customHeight="1" x14ac:dyDescent="0.4">
      <c r="B26" s="138" t="s">
        <v>174</v>
      </c>
      <c r="C26" s="171">
        <f>Fin_Analysis!I83</f>
        <v>-0.11179283029271934</v>
      </c>
      <c r="F26" s="141" t="s">
        <v>194</v>
      </c>
      <c r="G26" s="178">
        <f>Fin_Analysis!H88*Exchange_Rate/G3</f>
        <v>0.14634146341463414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258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0</v>
      </c>
      <c r="D29" s="129">
        <f>G29*(1+G20)</f>
        <v>0.7644732553101754</v>
      </c>
      <c r="E29" s="87"/>
      <c r="F29" s="131">
        <f>IF(Fin_Analysis!C108="Profit",Fin_Analysis!F100,IF(Fin_Analysis!C108="Dividend",Fin_Analysis!F103,Fin_Analysis!F106))</f>
        <v>0.24351196867391983</v>
      </c>
      <c r="G29" s="274">
        <f>IF(Fin_Analysis!C108="Profit",Fin_Analysis!I100,IF(Fin_Analysis!C108="Dividend",Fin_Analysis!I103,Fin_Analysis!I106))</f>
        <v>0.66475935244363082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disagree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unclear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unclear</v>
      </c>
    </row>
    <row r="40" spans="1:3" ht="15.75" customHeight="1" x14ac:dyDescent="0.4">
      <c r="A40"/>
      <c r="B40" s="1" t="s">
        <v>232</v>
      </c>
      <c r="C40" s="245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 t="str">
        <f>H14</f>
        <v/>
      </c>
      <c r="G3" s="85">
        <f>C14</f>
        <v>64444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1487090</v>
      </c>
      <c r="D6" s="200">
        <f>IF(Inputs!D25="","",Inputs!D25)</f>
        <v>1462864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1.6560664559384985E-2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692542</v>
      </c>
      <c r="D8" s="199">
        <f>IF(Inputs!D26="","",Inputs!D26)</f>
        <v>723325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794548</v>
      </c>
      <c r="D9" s="151">
        <f t="shared" si="2"/>
        <v>739539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730104</v>
      </c>
      <c r="D10" s="199">
        <f>IF(Inputs!D27="","",Inputs!D27)</f>
        <v>665658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4.333564209294663E-2</v>
      </c>
      <c r="D13" s="229">
        <f t="shared" si="3"/>
        <v>5.0504353104594821E-2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64444</v>
      </c>
      <c r="D14" s="230">
        <f t="shared" ref="D14:M14" si="4">IF(D6="","",D9-D10-MAX(D11,0)-MAX(D12,0))</f>
        <v>73881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-0.12773243459076081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>
        <f>IF(Inputs!C31="","",Inputs!C31)</f>
        <v>58778</v>
      </c>
      <c r="D16" s="199">
        <f>IF(Inputs!D31="","",Inputs!D31)</f>
        <v>38349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>
        <f t="shared" ref="C18:M18" si="6">IF(OR(C6="",C19=""),"",C19/C6)</f>
        <v>0.14117437411320094</v>
      </c>
      <c r="D18" s="152">
        <f t="shared" si="6"/>
        <v>0.13017888197399075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>
        <f>IF(Inputs!C32="","",Inputs!C32)</f>
        <v>209939</v>
      </c>
      <c r="D19" s="199">
        <f>IF(Inputs!D32="","",Inputs!D32)</f>
        <v>190434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2.5571418004290258E-2</v>
      </c>
      <c r="D20" s="152">
        <f t="shared" si="7"/>
        <v>4.1429688610834639E-2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>
        <f>IF(Inputs!C33="","",Inputs!C33)</f>
        <v>38027</v>
      </c>
      <c r="D21" s="199">
        <f>IF(Inputs!D33="","",Inputs!D33)</f>
        <v>60606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-166246</v>
      </c>
      <c r="D22" s="161">
        <f t="shared" ref="D22:M22" si="8">IF(D6="","",D14-MAX(D16,0)-MAX(D17,0)-ABS(MAX(D21,0)-MAX(D19,0)))</f>
        <v>-94296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-9.3347013294420647E-2</v>
      </c>
      <c r="D23" s="153">
        <f t="shared" si="9"/>
        <v>-5.3823978168852336E-2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-138815.41</v>
      </c>
      <c r="D24" s="77">
        <f>IF(D6="","",D22*(1-Fin_Analysis!$I$84))</f>
        <v>-78737.16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-0.76302282175277847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0.46570281556597115</v>
      </c>
      <c r="D42" s="156">
        <f t="shared" si="34"/>
        <v>0.49445813144625883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0.49096154234108225</v>
      </c>
      <c r="D43" s="153">
        <f t="shared" si="35"/>
        <v>0.45503751544914633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3.9525516276755275E-2</v>
      </c>
      <c r="D44" s="153">
        <f t="shared" si="36"/>
        <v>2.6215013835872644E-2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0</v>
      </c>
      <c r="D45" s="153">
        <f t="shared" si="37"/>
        <v>0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0.11560295610891069</v>
      </c>
      <c r="D47" s="153">
        <f t="shared" ref="D47:M47" si="39">IF(D6="","",ABS(MAX(D21,0)-MAX(D19,0))/D6)</f>
        <v>8.8749193363156106E-2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-0.11179283029271934</v>
      </c>
      <c r="D48" s="153">
        <f t="shared" si="40"/>
        <v>-6.445985409443393E-2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262</v>
      </c>
      <c r="C52" s="153">
        <f>IF(D6="","",C16/(C6-D6))</f>
        <v>2.4262362750763642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125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121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123</v>
      </c>
      <c r="C56" s="153" t="str">
        <f t="shared" ref="C56:M56" si="46">IF(C22="","",IF(MAX(C17,0)&lt;=0,"-",C17/C22))</f>
        <v>-</v>
      </c>
      <c r="D56" s="153" t="str">
        <f t="shared" si="46"/>
        <v>-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21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1487090</v>
      </c>
      <c r="D74" s="209"/>
      <c r="E74" s="238">
        <f>Inputs!E91</f>
        <v>1487090</v>
      </c>
      <c r="F74" s="209"/>
      <c r="H74" s="238">
        <f>Inputs!F91</f>
        <v>1487090</v>
      </c>
      <c r="I74" s="209"/>
      <c r="K74" s="24"/>
    </row>
    <row r="75" spans="1:11" ht="15" customHeight="1" x14ac:dyDescent="0.4">
      <c r="B75" s="104" t="s">
        <v>106</v>
      </c>
      <c r="C75" s="77">
        <f>Data!C8</f>
        <v>692542</v>
      </c>
      <c r="D75" s="159">
        <f>C75/$C$74</f>
        <v>0.46570281556597115</v>
      </c>
      <c r="E75" s="238">
        <f>Inputs!E92</f>
        <v>692542</v>
      </c>
      <c r="F75" s="160">
        <f>E75/E74</f>
        <v>0.46570281556597115</v>
      </c>
      <c r="H75" s="238">
        <f>Inputs!F92</f>
        <v>692542</v>
      </c>
      <c r="I75" s="160">
        <f>H75/$H$74</f>
        <v>0.46570281556597115</v>
      </c>
      <c r="K75" s="24"/>
    </row>
    <row r="76" spans="1:11" ht="15" customHeight="1" x14ac:dyDescent="0.4">
      <c r="B76" s="35" t="s">
        <v>96</v>
      </c>
      <c r="C76" s="161">
        <f>C74-C75</f>
        <v>794548</v>
      </c>
      <c r="D76" s="210"/>
      <c r="E76" s="162">
        <f>E74-E75</f>
        <v>794548</v>
      </c>
      <c r="F76" s="210"/>
      <c r="H76" s="162">
        <f>H74-H75</f>
        <v>794548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730104</v>
      </c>
      <c r="D77" s="159">
        <f>C77/$C$74</f>
        <v>0.49096154234108225</v>
      </c>
      <c r="E77" s="238">
        <f>Inputs!E93</f>
        <v>730104</v>
      </c>
      <c r="F77" s="160">
        <f>E77/E74</f>
        <v>0.49096154234108225</v>
      </c>
      <c r="H77" s="238">
        <f>Inputs!F93</f>
        <v>730104</v>
      </c>
      <c r="I77" s="160">
        <f>H77/$H$74</f>
        <v>0.49096154234108225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233</v>
      </c>
      <c r="C79" s="257">
        <f>C76-C77-C78</f>
        <v>64444</v>
      </c>
      <c r="D79" s="258">
        <f>C79/C74</f>
        <v>4.333564209294663E-2</v>
      </c>
      <c r="E79" s="259">
        <f>E76-E77-E78</f>
        <v>64444</v>
      </c>
      <c r="F79" s="258">
        <f>E79/E74</f>
        <v>4.333564209294663E-2</v>
      </c>
      <c r="G79" s="260"/>
      <c r="H79" s="259">
        <f>H76-H77-H78</f>
        <v>64444</v>
      </c>
      <c r="I79" s="258">
        <f>H79/H74</f>
        <v>4.333564209294663E-2</v>
      </c>
      <c r="K79" s="24"/>
    </row>
    <row r="80" spans="1:11" ht="15" customHeight="1" x14ac:dyDescent="0.4">
      <c r="B80" s="28" t="s">
        <v>110</v>
      </c>
      <c r="C80" s="77">
        <f>MAX(Data!C16,0)</f>
        <v>58778</v>
      </c>
      <c r="D80" s="159">
        <f>C80/$C$74</f>
        <v>3.9525516276755275E-2</v>
      </c>
      <c r="E80" s="180">
        <f>E74*F80</f>
        <v>58778</v>
      </c>
      <c r="F80" s="160">
        <f>I80</f>
        <v>3.9525516276755275E-2</v>
      </c>
      <c r="H80" s="238">
        <f>Inputs!F96</f>
        <v>58778</v>
      </c>
      <c r="I80" s="160">
        <f>H80/$H$74</f>
        <v>3.9525516276755275E-2</v>
      </c>
      <c r="K80" s="181" t="s">
        <v>132</v>
      </c>
    </row>
    <row r="81" spans="1:11" ht="15" customHeight="1" x14ac:dyDescent="0.4">
      <c r="B81" s="104" t="s">
        <v>257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247</v>
      </c>
      <c r="C82" s="77">
        <f>ABS(MAX(Data!C21,0)-MAX(Data!C19,0))</f>
        <v>171912</v>
      </c>
      <c r="D82" s="159">
        <f>C82/$C$74</f>
        <v>0.11560295610891069</v>
      </c>
      <c r="E82" s="238">
        <f>Inputs!E95</f>
        <v>171912</v>
      </c>
      <c r="F82" s="160">
        <f>E82/E74</f>
        <v>0.11560295610891069</v>
      </c>
      <c r="H82" s="238">
        <f>Inputs!F95</f>
        <v>171912</v>
      </c>
      <c r="I82" s="160">
        <f>H82/$H$74</f>
        <v>0.11560295610891069</v>
      </c>
      <c r="K82" s="24"/>
    </row>
    <row r="83" spans="1:11" ht="15" customHeight="1" thickBot="1" x14ac:dyDescent="0.45">
      <c r="B83" s="105" t="s">
        <v>126</v>
      </c>
      <c r="C83" s="163">
        <f>C79-C81-C82-C80</f>
        <v>-166246</v>
      </c>
      <c r="D83" s="164">
        <f>C83/$C$74</f>
        <v>-0.11179283029271934</v>
      </c>
      <c r="E83" s="165">
        <f>E79-E81-E82-E80</f>
        <v>-166246</v>
      </c>
      <c r="F83" s="164">
        <f>E83/E74</f>
        <v>-0.11179283029271934</v>
      </c>
      <c r="H83" s="165">
        <f>H79-H81-H82-H80</f>
        <v>-166246</v>
      </c>
      <c r="I83" s="164">
        <f>H83/$H$74</f>
        <v>-0.11179283029271934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0.16500000000000001</v>
      </c>
      <c r="E84" s="212"/>
      <c r="F84" s="179">
        <f t="shared" ref="F84" si="3">I84</f>
        <v>0.16500000000000001</v>
      </c>
      <c r="H84" s="212"/>
      <c r="I84" s="202">
        <f>Inputs!C16</f>
        <v>0.16500000000000001</v>
      </c>
      <c r="K84" s="24"/>
    </row>
    <row r="85" spans="1:11" ht="15" customHeight="1" x14ac:dyDescent="0.4">
      <c r="B85" s="263" t="s">
        <v>165</v>
      </c>
      <c r="C85" s="257">
        <f>C83*(1-I84)</f>
        <v>-138815.41</v>
      </c>
      <c r="D85" s="258">
        <f>C85/$C$74</f>
        <v>-9.3347013294420647E-2</v>
      </c>
      <c r="E85" s="264">
        <f>E83*(1-F84)</f>
        <v>-138815.41</v>
      </c>
      <c r="F85" s="258">
        <f>E85/E74</f>
        <v>-9.3347013294420647E-2</v>
      </c>
      <c r="G85" s="260"/>
      <c r="H85" s="264">
        <f>H83*(1-I84)</f>
        <v>-138815.41</v>
      </c>
      <c r="I85" s="258">
        <f>H85/$H$74</f>
        <v>-9.3347013294420647E-2</v>
      </c>
      <c r="K85" s="24"/>
    </row>
    <row r="86" spans="1:11" ht="15" customHeight="1" x14ac:dyDescent="0.4">
      <c r="B86" s="87" t="s">
        <v>161</v>
      </c>
      <c r="C86" s="167">
        <f>C85*Data!C4/Common_Shares</f>
        <v>-0.17855978791633639</v>
      </c>
      <c r="D86" s="209"/>
      <c r="E86" s="168">
        <f>E85*Data!C4/Common_Shares</f>
        <v>-0.17855978791633639</v>
      </c>
      <c r="F86" s="209"/>
      <c r="H86" s="168">
        <f>H85*Data!C4/Common_Shares</f>
        <v>-0.17855978791633639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-0.43551167784472294</v>
      </c>
      <c r="D87" s="209"/>
      <c r="E87" s="262">
        <f>E86*Exchange_Rate/Dashboard!G3</f>
        <v>-0.43551167784472294</v>
      </c>
      <c r="F87" s="209"/>
      <c r="H87" s="262">
        <f>H86*Exchange_Rate/Dashboard!G3</f>
        <v>-0.43551167784472294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0.06</v>
      </c>
      <c r="D88" s="166">
        <f>C88/C86</f>
        <v>-0.33602190448452368</v>
      </c>
      <c r="E88" s="170">
        <f>Inputs!E98</f>
        <v>0</v>
      </c>
      <c r="F88" s="166">
        <f>E88/E86</f>
        <v>0</v>
      </c>
      <c r="H88" s="170">
        <f>Inputs!F98</f>
        <v>0.06</v>
      </c>
      <c r="I88" s="166">
        <f>H88/H86</f>
        <v>-0.33602190448452368</v>
      </c>
      <c r="K88" s="24"/>
    </row>
    <row r="89" spans="1:11" ht="15" customHeight="1" x14ac:dyDescent="0.4">
      <c r="B89" s="87" t="s">
        <v>222</v>
      </c>
      <c r="C89" s="261">
        <f>C88*Exchange_Rate/Dashboard!G3</f>
        <v>0.14634146341463414</v>
      </c>
      <c r="D89" s="209"/>
      <c r="E89" s="261">
        <f>E88*Exchange_Rate/Dashboard!G3</f>
        <v>0</v>
      </c>
      <c r="F89" s="209"/>
      <c r="H89" s="261">
        <f>H88*Exchange_Rate/Dashboard!G3</f>
        <v>0.14634146341463414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210</v>
      </c>
      <c r="F93" s="144">
        <f>FV(E87,D93,0,-(E86/(C93-D94)))*Exchange_Rate</f>
        <v>-0.16881332318123474</v>
      </c>
      <c r="H93" s="87" t="s">
        <v>210</v>
      </c>
      <c r="I93" s="144">
        <f>FV(H87,D93,0,-(H86/(C93-D94)))*Exchange_Rate</f>
        <v>-0.16881332318123474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0</v>
      </c>
      <c r="H94" s="87" t="s">
        <v>211</v>
      </c>
      <c r="I94" s="144">
        <f>FV(H89,D93,0,-(H88/(C93-D94)))*Exchange_Rate</f>
        <v>1.9591581937382534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-65248.650858260153</v>
      </c>
      <c r="D97" s="213"/>
      <c r="E97" s="123">
        <f>PV(C94,D93,0,-F93)</f>
        <v>-8.3930056894101407E-2</v>
      </c>
      <c r="F97" s="213"/>
      <c r="H97" s="123">
        <f>PV(C94,D93,0,-I93)</f>
        <v>-8.3930056894101407E-2</v>
      </c>
      <c r="I97" s="123">
        <f>PV(C93,D93,0,-I93)</f>
        <v>-0.11455964685290521</v>
      </c>
      <c r="K97" s="24"/>
    </row>
    <row r="98" spans="2:11" ht="15" customHeight="1" x14ac:dyDescent="0.4">
      <c r="B98" s="28" t="s">
        <v>145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C97+C98+$C$99</f>
        <v>-65248.650858260153</v>
      </c>
      <c r="D100" s="109">
        <f>MIN(F100*(1-C94),E100)</f>
        <v>0</v>
      </c>
      <c r="E100" s="109">
        <f>MAX(E97+H98+E99,0)</f>
        <v>0</v>
      </c>
      <c r="F100" s="109">
        <f>(E100+H100)/2</f>
        <v>0</v>
      </c>
      <c r="H100" s="109">
        <f>MAX(C100*Data!$C$4/Common_Shares,0)</f>
        <v>0</v>
      </c>
      <c r="I100" s="109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757241.35127704625</v>
      </c>
      <c r="D103" s="109">
        <f>MIN(F103*(1-C94),E103)</f>
        <v>0</v>
      </c>
      <c r="E103" s="123">
        <f>PV(C94,D93,0,-F94)</f>
        <v>0</v>
      </c>
      <c r="F103" s="109">
        <f>(E103+H103)/2</f>
        <v>0.48702393734783966</v>
      </c>
      <c r="H103" s="123">
        <f>PV(C94,D93,0,-I94)</f>
        <v>0.97404787469567933</v>
      </c>
      <c r="I103" s="109">
        <f>PV(C93,D93,0,-I94)</f>
        <v>1.3295187048872616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0</v>
      </c>
      <c r="D106" s="109">
        <f>(D100+D103)/2</f>
        <v>0</v>
      </c>
      <c r="E106" s="123">
        <f>(E100+E103)/2</f>
        <v>0</v>
      </c>
      <c r="F106" s="109">
        <f>(F100+F103)/2</f>
        <v>0.24351196867391983</v>
      </c>
      <c r="H106" s="123">
        <f>(H100+H103)/2</f>
        <v>0.48702393734783966</v>
      </c>
      <c r="I106" s="123">
        <f>(I100+I103)/2</f>
        <v>0.66475935244363082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2024-12-13T06:16:49Z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