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C223A38-D2F2-4195-8CB6-B8D162F79F8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1" i="4" l="1"/>
  <c r="F95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D27" i="4"/>
  <c r="C27" i="4"/>
  <c r="M52" i="2"/>
  <c r="F96" i="4" l="1"/>
  <c r="F94" i="4"/>
  <c r="F97" i="4"/>
  <c r="E92" i="4"/>
  <c r="F92" i="4"/>
  <c r="F93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<sst xmlns="http://schemas.openxmlformats.org/spreadsheetml/2006/main" count="391" uniqueCount="270">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</sst>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0.82760234528184051</c:v>
                </c:pt>
                <c:pt idx="1">
                  <c:v>0.1381181210170607</c:v>
                </c:pt>
                <c:pt idx="2">
                  <c:v>2.152653084078963E-3</c:v>
                </c:pt>
                <c:pt idx="3">
                  <c:v>0</c:v>
                </c:pt>
                <c:pt idx="4">
                  <c:v>1.3414601462329697E-2</c:v>
                </c:pt>
                <c:pt idx="5">
                  <c:v>0</c:v>
                </c:pt>
                <c:pt idx="6">
                  <c:v>1.8712279154690092E-2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12404659302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(0.08+0.3)/Exchange_Rate</f>
        <v>4.8877112466618147E-2</v>
      </c>
      <c r="D44" s="250">
        <f>(0.08+0.3)/Exchange_Rate</f>
        <v>4.8877112466618147E-2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4.1259500542888163E-2</v>
      </c>
      <c r="D45" s="152">
        <f>IF(D44="","",D44*Exchange_Rate/Dashboard!$G$3)</f>
        <v>4.1259500542888163E-2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45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105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247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257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207</v>
      </c>
      <c r="C98" s="237">
        <f>C44</f>
        <v>4.8877112466618147E-2</v>
      </c>
      <c r="D98" s="266"/>
      <c r="E98" s="254">
        <f>F98</f>
        <v>4.8877112466618147E-2</v>
      </c>
      <c r="F98" s="254">
        <f>C98</f>
        <v>4.8877112466618147E-2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0992.HK</v>
      </c>
      <c r="D3" s="278"/>
      <c r="E3" s="87"/>
      <c r="F3" s="3" t="s">
        <v>1</v>
      </c>
      <c r="G3" s="132">
        <v>9.2100000000000009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聯想集團</v>
      </c>
      <c r="D4" s="280"/>
      <c r="E4" s="87"/>
      <c r="F4" s="3" t="s">
        <v>2</v>
      </c>
      <c r="G4" s="283">
        <f>Inputs!C10</f>
        <v>12404659302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114246.91217142002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7.7746000289916992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0.82760234528184051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0.1381181210170607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2.152653084078963E-3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1.3414601462329697E-2</v>
      </c>
      <c r="F24" s="140" t="s">
        <v>260</v>
      </c>
      <c r="G24" s="268">
        <f>G3/(Fin_Analysis!H86*G7)</f>
        <v>18.413769723728425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0.75974294191279057</v>
      </c>
    </row>
    <row r="26" spans="1:8" ht="15.75" customHeight="1" x14ac:dyDescent="0.4">
      <c r="B26" s="138" t="s">
        <v>173</v>
      </c>
      <c r="C26" s="171">
        <f>Fin_Analysis!I83</f>
        <v>1.8712279154690092E-2</v>
      </c>
      <c r="F26" s="141" t="s">
        <v>193</v>
      </c>
      <c r="G26" s="178">
        <f>Fin_Analysis!H88*Exchange_Rate/G3</f>
        <v>4.1259500542888163E-2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4.5418284453178916</v>
      </c>
      <c r="D29" s="129">
        <f>G29*(1+G20)</f>
        <v>8.3873311311974827</v>
      </c>
      <c r="E29" s="87"/>
      <c r="F29" s="131">
        <f>IF(Fin_Analysis!C108="Profit",Fin_Analysis!F100,IF(Fin_Analysis!C108="Dividend",Fin_Analysis!F103,Fin_Analysis!F106))</f>
        <v>5.343327582726932</v>
      </c>
      <c r="G29" s="274">
        <f>IF(Fin_Analysis!C108="Profit",Fin_Analysis!I100,IF(Fin_Analysis!C108="Dividend",Fin_Analysis!I103,Fin_Analysis!I106))</f>
        <v>7.2933314184325946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0.82760234528184051</v>
      </c>
      <c r="D42" s="156">
        <f t="shared" si="34"/>
        <v>0.830482238855907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0.1381181210170607</v>
      </c>
      <c r="D43" s="153">
        <f t="shared" si="35"/>
        <v>0.12606007401118385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1.3414601462329697E-2</v>
      </c>
      <c r="D45" s="153">
        <f t="shared" si="37"/>
        <v>1.0617230053361548E-2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2.152653084078963E-3</v>
      </c>
      <c r="D46" s="153">
        <f t="shared" ref="D46:M46" si="38">IF(D6="","",MAX(D12,0)/D6)</f>
        <v>1.573585426415144E-3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1.8712279154690092E-2</v>
      </c>
      <c r="D48" s="153">
        <f t="shared" si="40"/>
        <v>3.1266871653132432E-2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0.71688763038613745</v>
      </c>
      <c r="D56" s="153">
        <f t="shared" si="46"/>
        <v>0.33956803133830221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95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172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232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160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5.430718505789589E-2</v>
      </c>
      <c r="D87" s="209"/>
      <c r="E87" s="262">
        <f>E86*Exchange_Rate/Dashboard!G3</f>
        <v>5.430718505789589E-2</v>
      </c>
      <c r="F87" s="209"/>
      <c r="H87" s="262">
        <f>H86*Exchange_Rate/Dashboard!G3</f>
        <v>5.430718505789589E-2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4.8877112466618147E-2</v>
      </c>
      <c r="D88" s="166">
        <f>C88/C86</f>
        <v>0.75974294191279057</v>
      </c>
      <c r="E88" s="170">
        <f>Inputs!E98</f>
        <v>4.8877112466618147E-2</v>
      </c>
      <c r="F88" s="166">
        <f>E88/E86</f>
        <v>0.75974294191279057</v>
      </c>
      <c r="H88" s="170">
        <f>Inputs!F98</f>
        <v>4.8877112466618147E-2</v>
      </c>
      <c r="I88" s="166">
        <f>H88/H86</f>
        <v>0.75974294191279057</v>
      </c>
      <c r="K88" s="24"/>
    </row>
    <row r="89" spans="1:11" ht="15" customHeight="1" x14ac:dyDescent="0.4">
      <c r="B89" s="87" t="s">
        <v>221</v>
      </c>
      <c r="C89" s="261">
        <f>C88*Exchange_Rate/Dashboard!G3</f>
        <v>4.1259500542888163E-2</v>
      </c>
      <c r="D89" s="209"/>
      <c r="E89" s="261">
        <f>E88*Exchange_Rate/Dashboard!G3</f>
        <v>4.1259500542888163E-2</v>
      </c>
      <c r="F89" s="209"/>
      <c r="H89" s="261">
        <f>H88*Exchange_Rate/Dashboard!G3</f>
        <v>4.1259500542888163E-2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10.747340338684813</v>
      </c>
      <c r="H93" s="87" t="s">
        <v>209</v>
      </c>
      <c r="I93" s="144">
        <f>FV(H87,D93,0,-(H86/(C93-D94)))*Exchange_Rate</f>
        <v>10.747340338684813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7.6723203819084862</v>
      </c>
      <c r="H94" s="87" t="s">
        <v>210</v>
      </c>
      <c r="I94" s="144">
        <f>FV(H89,D93,0,-(H88/(C93-D94)))*Exchange_Rate</f>
        <v>7.6723203819084862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66282158.202706806</v>
      </c>
      <c r="D97" s="213"/>
      <c r="E97" s="123">
        <f>PV(C94,D93,0,-F93)</f>
        <v>5.343327582726932</v>
      </c>
      <c r="F97" s="213"/>
      <c r="H97" s="123">
        <f>PV(C94,D93,0,-I93)</f>
        <v>5.343327582726932</v>
      </c>
      <c r="I97" s="123">
        <f>PV(C93,D93,0,-I93)</f>
        <v>7.2933314184325946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66282158.202706806</v>
      </c>
      <c r="D100" s="109">
        <f>MIN(F100*(1-C94),E100)</f>
        <v>4.5418284453178916</v>
      </c>
      <c r="E100" s="109">
        <f>MAX(E97+H98+E99,0)</f>
        <v>5.343327582726932</v>
      </c>
      <c r="F100" s="109">
        <f>(E100+H100)/2</f>
        <v>5.343327582726932</v>
      </c>
      <c r="H100" s="109">
        <f>MAX(C100*Data!$C$4/Common_Shares,0)</f>
        <v>5.343327582726932</v>
      </c>
      <c r="I100" s="109">
        <f>MAX(I97+H98+H99,0)</f>
        <v>7.2933314184325946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47317562.979283273</v>
      </c>
      <c r="D103" s="109">
        <f>MIN(F103*(1-C94),E103)</f>
        <v>3.2423243196938212</v>
      </c>
      <c r="E103" s="123">
        <f>PV(C94,D93,0,-F94)</f>
        <v>3.8144991996397897</v>
      </c>
      <c r="F103" s="109">
        <f>(E103+H103)/2</f>
        <v>3.8144991996397897</v>
      </c>
      <c r="H103" s="123">
        <f>PV(C94,D93,0,-I94)</f>
        <v>3.8144991996397897</v>
      </c>
      <c r="I103" s="109">
        <f>PV(C93,D93,0,-I94)</f>
        <v>5.2065695818935556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56799860.590995051</v>
      </c>
      <c r="D106" s="109">
        <f>(D100+D103)/2</f>
        <v>3.8920763825058566</v>
      </c>
      <c r="E106" s="123">
        <f>(E100+E103)/2</f>
        <v>4.5789133911833613</v>
      </c>
      <c r="F106" s="109">
        <f>(F100+F103)/2</f>
        <v>4.5789133911833613</v>
      </c>
      <c r="H106" s="123">
        <f>(H100+H103)/2</f>
        <v>4.5789133911833613</v>
      </c>
      <c r="I106" s="123">
        <f>(I100+I103)/2</f>
        <v>6.2499505001630755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