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AEB91007-B07E-4673-A3CF-92208CBAC34F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/>
  <c r="F95" i="4"/>
  <c r="E95" i="4"/>
  <c r="F94" i="4"/>
  <c r="F93" i="4"/>
  <c r="F91" i="4"/>
  <c r="F92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3" i="4" s="1"/>
  <c r="M52" i="2"/>
  <c r="F96" i="4" l="1"/>
  <c r="E92" i="4"/>
  <c r="F97" i="4"/>
  <c r="D56" i="4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D33" i="2" l="1"/>
  <c r="C43" i="1"/>
  <c r="C40" i="1"/>
  <c r="C39" i="1"/>
  <c r="C37" i="1"/>
  <c r="C36" i="1"/>
  <c r="C98" i="4"/>
  <c r="D93" i="3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28" i="2"/>
  <c r="L29" i="2"/>
  <c r="L30" i="2"/>
  <c r="L31" i="2"/>
  <c r="L32" i="2"/>
  <c r="L33" i="2"/>
  <c r="L34" i="2"/>
  <c r="L36" i="2"/>
  <c r="L27" i="2" s="1"/>
  <c r="L37" i="2"/>
  <c r="L38" i="2"/>
  <c r="L39" i="2" s="1"/>
  <c r="L40" i="2" s="1"/>
  <c r="L19" i="2"/>
  <c r="K19" i="2"/>
  <c r="L35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48" i="3"/>
  <c r="I33" i="3"/>
  <c r="I31" i="3"/>
  <c r="I32" i="3"/>
  <c r="I30" i="3"/>
  <c r="I28" i="3"/>
  <c r="I14" i="3"/>
  <c r="I12" i="3"/>
  <c r="I13" i="3"/>
  <c r="I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14" i="3"/>
  <c r="C15" i="3"/>
  <c r="C16" i="3"/>
  <c r="C17" i="3"/>
  <c r="C18" i="3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36" i="2"/>
  <c r="F36" i="2"/>
  <c r="G36" i="2"/>
  <c r="H36" i="2"/>
  <c r="I36" i="2"/>
  <c r="I27" i="2" s="1"/>
  <c r="J36" i="2"/>
  <c r="J27" i="2" s="1"/>
  <c r="K36" i="2"/>
  <c r="K27" i="2" s="1"/>
  <c r="M36" i="2"/>
  <c r="M27" i="2" s="1"/>
  <c r="E37" i="2"/>
  <c r="F37" i="2"/>
  <c r="G37" i="2"/>
  <c r="H37" i="2"/>
  <c r="I37" i="2"/>
  <c r="J37" i="2"/>
  <c r="K37" i="2"/>
  <c r="M37" i="2"/>
  <c r="E38" i="2"/>
  <c r="F38" i="2"/>
  <c r="G38" i="2"/>
  <c r="H38" i="2"/>
  <c r="I38" i="2"/>
  <c r="I39" i="2" s="1"/>
  <c r="I40" i="2" s="1"/>
  <c r="J38" i="2"/>
  <c r="J39" i="2" s="1"/>
  <c r="J40" i="2" s="1"/>
  <c r="K38" i="2"/>
  <c r="K39" i="2" s="1"/>
  <c r="K40" i="2" s="1"/>
  <c r="M38" i="2"/>
  <c r="M39" i="2" s="1"/>
  <c r="M40" i="2" s="1"/>
  <c r="D37" i="2"/>
  <c r="D38" i="2"/>
  <c r="D36" i="2"/>
  <c r="C4" i="2"/>
  <c r="C3" i="2"/>
  <c r="G6" i="2"/>
  <c r="H6" i="2"/>
  <c r="G52" i="2" s="1"/>
  <c r="I6" i="2"/>
  <c r="H52" i="2" s="1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F6" i="2"/>
  <c r="E52" i="2" s="1"/>
  <c r="J6" i="2"/>
  <c r="I52" i="2" s="1"/>
  <c r="K6" i="2"/>
  <c r="J52" i="2" s="1"/>
  <c r="L6" i="2"/>
  <c r="K52" i="2" s="1"/>
  <c r="M6" i="2"/>
  <c r="L52" i="2" s="1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E28" i="2"/>
  <c r="F28" i="2"/>
  <c r="G28" i="2"/>
  <c r="H28" i="2"/>
  <c r="I28" i="2"/>
  <c r="J28" i="2"/>
  <c r="K28" i="2"/>
  <c r="M28" i="2"/>
  <c r="E29" i="2"/>
  <c r="F29" i="2"/>
  <c r="G29" i="2"/>
  <c r="H29" i="2"/>
  <c r="I29" i="2"/>
  <c r="J29" i="2"/>
  <c r="K29" i="2"/>
  <c r="K50" i="2" s="1"/>
  <c r="L50" i="2"/>
  <c r="M29" i="2"/>
  <c r="M50" i="2" s="1"/>
  <c r="E30" i="2"/>
  <c r="F30" i="2"/>
  <c r="G30" i="2"/>
  <c r="H30" i="2"/>
  <c r="I30" i="2"/>
  <c r="J30" i="2"/>
  <c r="J51" i="2" s="1"/>
  <c r="K30" i="2"/>
  <c r="K51" i="2" s="1"/>
  <c r="L51" i="2"/>
  <c r="M30" i="2"/>
  <c r="M51" i="2" s="1"/>
  <c r="E31" i="2"/>
  <c r="F31" i="2"/>
  <c r="G31" i="2"/>
  <c r="H31" i="2"/>
  <c r="I31" i="2"/>
  <c r="J31" i="2"/>
  <c r="K31" i="2"/>
  <c r="M31" i="2"/>
  <c r="E32" i="2"/>
  <c r="F32" i="2"/>
  <c r="G32" i="2"/>
  <c r="H32" i="2"/>
  <c r="I32" i="2"/>
  <c r="J32" i="2"/>
  <c r="K32" i="2"/>
  <c r="M32" i="2"/>
  <c r="E33" i="2"/>
  <c r="F33" i="2"/>
  <c r="G33" i="2"/>
  <c r="H33" i="2"/>
  <c r="I33" i="2"/>
  <c r="J33" i="2"/>
  <c r="K33" i="2"/>
  <c r="M33" i="2"/>
  <c r="E34" i="2"/>
  <c r="F34" i="2"/>
  <c r="G34" i="2"/>
  <c r="H34" i="2"/>
  <c r="I34" i="2"/>
  <c r="J34" i="2"/>
  <c r="K34" i="2"/>
  <c r="M34" i="2"/>
  <c r="D29" i="2"/>
  <c r="D30" i="2"/>
  <c r="D31" i="2"/>
  <c r="D32" i="2"/>
  <c r="D34" i="2"/>
  <c r="D28" i="2"/>
  <c r="C21" i="2"/>
  <c r="C82" i="3" s="1"/>
  <c r="C16" i="2"/>
  <c r="C17" i="2"/>
  <c r="C92" i="3"/>
  <c r="B93" i="3" s="1"/>
  <c r="I11" i="3"/>
  <c r="C24" i="4"/>
  <c r="G6" i="1"/>
  <c r="G4" i="1"/>
  <c r="D7" i="1"/>
  <c r="C6" i="1"/>
  <c r="C5" i="1"/>
  <c r="C4" i="1"/>
  <c r="C3" i="1"/>
  <c r="C94" i="3"/>
  <c r="H96" i="3"/>
  <c r="E96" i="3"/>
  <c r="F84" i="3"/>
  <c r="D52" i="2" l="1"/>
  <c r="F52" i="2"/>
  <c r="C52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7" i="2"/>
  <c r="D47" i="2"/>
  <c r="H47" i="2"/>
  <c r="G47" i="2"/>
  <c r="L22" i="2"/>
  <c r="L47" i="2"/>
  <c r="K22" i="2"/>
  <c r="K47" i="2"/>
  <c r="I22" i="2"/>
  <c r="I47" i="2"/>
  <c r="J22" i="2"/>
  <c r="J47" i="2"/>
  <c r="F47" i="2"/>
  <c r="C47" i="2"/>
  <c r="M22" i="2"/>
  <c r="M47" i="2"/>
  <c r="L46" i="2"/>
  <c r="L14" i="2"/>
  <c r="K15" i="2" s="1"/>
  <c r="I14" i="2"/>
  <c r="I46" i="2"/>
  <c r="K46" i="2"/>
  <c r="K14" i="2"/>
  <c r="J15" i="2" s="1"/>
  <c r="J14" i="2"/>
  <c r="J46" i="2"/>
  <c r="H46" i="2"/>
  <c r="F46" i="2"/>
  <c r="G46" i="2"/>
  <c r="E46" i="2"/>
  <c r="D46" i="2"/>
  <c r="C46" i="2"/>
  <c r="M46" i="2"/>
  <c r="M14" i="2"/>
  <c r="L15" i="2" s="1"/>
  <c r="I51" i="2"/>
  <c r="I50" i="2"/>
  <c r="J50" i="2"/>
  <c r="H51" i="2"/>
  <c r="G51" i="2"/>
  <c r="H27" i="2"/>
  <c r="H39" i="2" s="1"/>
  <c r="H50" i="2"/>
  <c r="G50" i="2"/>
  <c r="D43" i="2"/>
  <c r="D20" i="2"/>
  <c r="G20" i="2"/>
  <c r="G43" i="2"/>
  <c r="E43" i="2"/>
  <c r="E20" i="2"/>
  <c r="C20" i="2"/>
  <c r="C43" i="2"/>
  <c r="M43" i="2"/>
  <c r="M20" i="2"/>
  <c r="K43" i="2"/>
  <c r="K20" i="2"/>
  <c r="H20" i="2"/>
  <c r="H43" i="2"/>
  <c r="L43" i="2"/>
  <c r="L20" i="2"/>
  <c r="J20" i="2"/>
  <c r="J43" i="2"/>
  <c r="F43" i="2"/>
  <c r="F20" i="2"/>
  <c r="I20" i="2"/>
  <c r="I43" i="2"/>
  <c r="D44" i="2"/>
  <c r="D45" i="2"/>
  <c r="H45" i="2"/>
  <c r="F45" i="2"/>
  <c r="E45" i="2"/>
  <c r="H105" i="3"/>
  <c r="E105" i="3"/>
  <c r="I7" i="2"/>
  <c r="J45" i="2"/>
  <c r="J7" i="2"/>
  <c r="K45" i="2"/>
  <c r="I45" i="2"/>
  <c r="G27" i="2"/>
  <c r="G39" i="2" s="1"/>
  <c r="M45" i="2"/>
  <c r="L18" i="2"/>
  <c r="L45" i="2"/>
  <c r="C45" i="2"/>
  <c r="G45" i="2"/>
  <c r="H18" i="2"/>
  <c r="D18" i="2"/>
  <c r="F7" i="2"/>
  <c r="E35" i="2"/>
  <c r="K35" i="2"/>
  <c r="M35" i="2"/>
  <c r="E51" i="2"/>
  <c r="E50" i="2"/>
  <c r="D35" i="2"/>
  <c r="I35" i="2"/>
  <c r="F51" i="2"/>
  <c r="J35" i="2"/>
  <c r="F50" i="2"/>
  <c r="G18" i="2"/>
  <c r="F27" i="2"/>
  <c r="F39" i="2" s="1"/>
  <c r="E27" i="2"/>
  <c r="E39" i="2" s="1"/>
  <c r="D51" i="2"/>
  <c r="H35" i="2"/>
  <c r="D50" i="2"/>
  <c r="G35" i="2"/>
  <c r="F35" i="2"/>
  <c r="D27" i="2"/>
  <c r="D39" i="2" s="1"/>
  <c r="E18" i="2"/>
  <c r="F18" i="2"/>
  <c r="J18" i="2"/>
  <c r="F9" i="2"/>
  <c r="F14" i="2" s="1"/>
  <c r="F22" i="2" s="1"/>
  <c r="E9" i="2"/>
  <c r="E14" i="2" s="1"/>
  <c r="E22" i="2" s="1"/>
  <c r="L7" i="2"/>
  <c r="C7" i="2"/>
  <c r="M18" i="2"/>
  <c r="E7" i="2"/>
  <c r="C18" i="2"/>
  <c r="D9" i="2"/>
  <c r="D14" i="2" s="1"/>
  <c r="D22" i="2" s="1"/>
  <c r="H7" i="2"/>
  <c r="H9" i="2"/>
  <c r="H14" i="2" s="1"/>
  <c r="K18" i="2"/>
  <c r="I18" i="2"/>
  <c r="G7" i="2"/>
  <c r="G9" i="2"/>
  <c r="G14" i="2" s="1"/>
  <c r="G22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H103" i="3" l="1"/>
  <c r="I103" i="3"/>
  <c r="D93" i="4"/>
  <c r="D97" i="4"/>
  <c r="D92" i="4"/>
  <c r="C22" i="2"/>
  <c r="F3" i="2"/>
  <c r="H22" i="2"/>
  <c r="M13" i="2"/>
  <c r="F15" i="2"/>
  <c r="H15" i="2"/>
  <c r="G15" i="2"/>
  <c r="C15" i="2"/>
  <c r="H74" i="3" s="1"/>
  <c r="D55" i="2"/>
  <c r="G56" i="2"/>
  <c r="D15" i="2"/>
  <c r="E15" i="2"/>
  <c r="K13" i="2"/>
  <c r="E13" i="2"/>
  <c r="L13" i="2"/>
  <c r="E40" i="2"/>
  <c r="G13" i="2"/>
  <c r="E56" i="2"/>
  <c r="D40" i="2"/>
  <c r="D13" i="2"/>
  <c r="G40" i="2"/>
  <c r="K55" i="2"/>
  <c r="L24" i="2"/>
  <c r="L23" i="2" s="1"/>
  <c r="M56" i="2"/>
  <c r="M55" i="2"/>
  <c r="H77" i="3" l="1"/>
  <c r="H75" i="3"/>
  <c r="E74" i="3"/>
  <c r="H78" i="3"/>
  <c r="I15" i="2"/>
  <c r="J56" i="2"/>
  <c r="J13" i="2"/>
  <c r="H40" i="2"/>
  <c r="H13" i="2"/>
  <c r="H56" i="2"/>
  <c r="F40" i="2"/>
  <c r="F13" i="2"/>
  <c r="F56" i="2"/>
  <c r="I13" i="2"/>
  <c r="I56" i="2"/>
  <c r="C13" i="2"/>
  <c r="K56" i="2"/>
  <c r="L56" i="2"/>
  <c r="L55" i="2"/>
  <c r="D56" i="2"/>
  <c r="G55" i="2"/>
  <c r="G3" i="2"/>
  <c r="C56" i="2"/>
  <c r="D48" i="2"/>
  <c r="E55" i="2"/>
  <c r="E89" i="3"/>
  <c r="F94" i="3" l="1"/>
  <c r="E103" i="3" s="1"/>
  <c r="E77" i="3"/>
  <c r="E75" i="3"/>
  <c r="J55" i="2"/>
  <c r="H55" i="2"/>
  <c r="I55" i="2"/>
  <c r="F55" i="2"/>
  <c r="G26" i="1"/>
  <c r="C78" i="3"/>
  <c r="C96" i="3"/>
  <c r="C102" i="3" s="1"/>
  <c r="C105" i="3" s="1"/>
  <c r="B96" i="3"/>
  <c r="C80" i="3"/>
  <c r="G33" i="3"/>
  <c r="C44" i="2"/>
  <c r="C29" i="2"/>
  <c r="E44" i="2"/>
  <c r="F44" i="2"/>
  <c r="G44" i="2"/>
  <c r="H44" i="2"/>
  <c r="I44" i="2"/>
  <c r="J44" i="2"/>
  <c r="K44" i="2"/>
  <c r="L44" i="2"/>
  <c r="M44" i="2"/>
  <c r="I34" i="3"/>
  <c r="I54" i="2"/>
  <c r="J54" i="2"/>
  <c r="K54" i="2"/>
  <c r="L54" i="2"/>
  <c r="M54" i="2"/>
  <c r="C30" i="2"/>
  <c r="E9" i="3"/>
  <c r="E6" i="1" s="1"/>
  <c r="C103" i="3" l="1"/>
  <c r="C50" i="2"/>
  <c r="C51" i="2"/>
  <c r="I15" i="3"/>
  <c r="D56" i="3" s="1"/>
  <c r="C62" i="3"/>
  <c r="F103" i="3" l="1"/>
  <c r="C26" i="2"/>
  <c r="B73" i="3"/>
  <c r="C74" i="3"/>
  <c r="C75" i="3"/>
  <c r="D4" i="2"/>
  <c r="D42" i="2"/>
  <c r="E42" i="2"/>
  <c r="F42" i="2"/>
  <c r="G42" i="2"/>
  <c r="H42" i="2"/>
  <c r="I42" i="2"/>
  <c r="J42" i="2"/>
  <c r="K42" i="2"/>
  <c r="L42" i="2"/>
  <c r="M42" i="2"/>
  <c r="C42" i="2"/>
  <c r="D57" i="2"/>
  <c r="E57" i="2"/>
  <c r="F57" i="2"/>
  <c r="G57" i="2"/>
  <c r="H57" i="2"/>
  <c r="I57" i="2"/>
  <c r="J57" i="2"/>
  <c r="K57" i="2"/>
  <c r="L57" i="2"/>
  <c r="M57" i="2"/>
  <c r="E54" i="2"/>
  <c r="F54" i="2"/>
  <c r="G54" i="2"/>
  <c r="C31" i="2"/>
  <c r="C32" i="2"/>
  <c r="C25" i="3"/>
  <c r="M25" i="2"/>
  <c r="D103" i="3" l="1"/>
  <c r="H54" i="2"/>
  <c r="D77" i="3"/>
  <c r="D54" i="2"/>
  <c r="E24" i="2"/>
  <c r="D80" i="3"/>
  <c r="C76" i="3"/>
  <c r="C79" i="3" s="1"/>
  <c r="D78" i="3"/>
  <c r="D75" i="3"/>
  <c r="D82" i="3"/>
  <c r="D81" i="3"/>
  <c r="C28" i="3"/>
  <c r="C28" i="2" s="1"/>
  <c r="C83" i="3" l="1"/>
  <c r="C85" i="3" s="1"/>
  <c r="D79" i="3"/>
  <c r="F75" i="3"/>
  <c r="G24" i="2"/>
  <c r="J48" i="2"/>
  <c r="D24" i="2"/>
  <c r="L48" i="2"/>
  <c r="I77" i="3"/>
  <c r="F77" i="3" s="1"/>
  <c r="F4" i="2"/>
  <c r="I75" i="3"/>
  <c r="I78" i="3"/>
  <c r="F78" i="3" s="1"/>
  <c r="E78" i="3" s="1"/>
  <c r="C24" i="2"/>
  <c r="D96" i="4" s="1"/>
  <c r="H80" i="3" s="1"/>
  <c r="I80" i="3" s="1"/>
  <c r="E48" i="2"/>
  <c r="C34" i="2"/>
  <c r="C33" i="2"/>
  <c r="C47" i="3"/>
  <c r="C45" i="3"/>
  <c r="C27" i="3"/>
  <c r="C26" i="3"/>
  <c r="C44" i="3"/>
  <c r="C46" i="3"/>
  <c r="C35" i="2" l="1"/>
  <c r="C55" i="2" s="1"/>
  <c r="G48" i="2"/>
  <c r="K48" i="2"/>
  <c r="M24" i="2"/>
  <c r="L25" i="2" s="1"/>
  <c r="K24" i="2"/>
  <c r="K23" i="2" s="1"/>
  <c r="J24" i="2"/>
  <c r="J23" i="2" s="1"/>
  <c r="H24" i="2"/>
  <c r="H23" i="2" s="1"/>
  <c r="I48" i="2"/>
  <c r="H48" i="2"/>
  <c r="I24" i="2"/>
  <c r="I23" i="2" s="1"/>
  <c r="F24" i="2"/>
  <c r="F48" i="2"/>
  <c r="M48" i="2"/>
  <c r="M23" i="2"/>
  <c r="C23" i="1"/>
  <c r="F80" i="3"/>
  <c r="E80" i="3" s="1"/>
  <c r="C21" i="1"/>
  <c r="C20" i="1"/>
  <c r="E76" i="3"/>
  <c r="E79" i="3" s="1"/>
  <c r="H76" i="3"/>
  <c r="H79" i="3" s="1"/>
  <c r="D83" i="3"/>
  <c r="D85" i="3"/>
  <c r="C86" i="3"/>
  <c r="C87" i="3" s="1"/>
  <c r="C22" i="1"/>
  <c r="C48" i="2"/>
  <c r="I79" i="3" l="1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I49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57" i="2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H81" i="3" s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C49" i="3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I81" i="3" l="1"/>
  <c r="J47" i="3"/>
  <c r="J26" i="3"/>
  <c r="C34" i="1"/>
  <c r="L26" i="2"/>
  <c r="M26" i="2" s="1"/>
  <c r="C65" i="3"/>
  <c r="D65" i="3" s="1"/>
  <c r="C38" i="2"/>
  <c r="C68" i="3"/>
  <c r="D63" i="3"/>
  <c r="D3" i="3"/>
  <c r="E3" i="3" s="1"/>
  <c r="F27" i="3"/>
  <c r="F26" i="3"/>
  <c r="F24" i="3"/>
  <c r="F25" i="3"/>
  <c r="D28" i="3"/>
  <c r="E49" i="3"/>
  <c r="E68" i="3" s="1"/>
  <c r="E70" i="3" s="1"/>
  <c r="C99" i="3" s="1"/>
  <c r="D44" i="3"/>
  <c r="D45" i="3"/>
  <c r="D25" i="3"/>
  <c r="C24" i="1" l="1"/>
  <c r="F81" i="3"/>
  <c r="E81" i="3" s="1"/>
  <c r="H99" i="3"/>
  <c r="E99" i="3" s="1"/>
  <c r="C70" i="3"/>
  <c r="D70" i="3" s="1"/>
  <c r="C39" i="2"/>
  <c r="C40" i="2" s="1"/>
  <c r="D49" i="3"/>
  <c r="D68" i="3"/>
  <c r="D4" i="3"/>
  <c r="C53" i="3" s="1"/>
  <c r="C36" i="2"/>
  <c r="J28" i="3"/>
  <c r="G23" i="1" l="1"/>
  <c r="E53" i="3" s="1"/>
  <c r="C98" i="3" s="1"/>
  <c r="C27" i="2"/>
  <c r="C37" i="2"/>
  <c r="C54" i="2" l="1"/>
  <c r="D6" i="3"/>
  <c r="H98" i="3"/>
  <c r="D95" i="4" l="1"/>
  <c r="D53" i="3"/>
  <c r="D7" i="3"/>
  <c r="D52" i="3"/>
  <c r="E82" i="3" l="1"/>
  <c r="E83" i="3" s="1"/>
  <c r="H82" i="3"/>
  <c r="E6" i="3"/>
  <c r="I82" i="3" l="1"/>
  <c r="C25" i="1" s="1"/>
  <c r="H83" i="3"/>
  <c r="F82" i="3"/>
  <c r="E85" i="3"/>
  <c r="E86" i="3" s="1"/>
  <c r="I83" i="3" l="1"/>
  <c r="C26" i="1" s="1"/>
  <c r="H85" i="3"/>
  <c r="F83" i="3"/>
  <c r="F88" i="3"/>
  <c r="E87" i="3"/>
  <c r="F85" i="3"/>
  <c r="F93" i="3" l="1"/>
  <c r="E97" i="3" s="1"/>
  <c r="E100" i="3" s="1"/>
  <c r="I85" i="3"/>
  <c r="H86" i="3"/>
  <c r="G24" i="1" s="1"/>
  <c r="H87" i="3" l="1"/>
  <c r="I93" i="3" s="1"/>
  <c r="I88" i="3"/>
  <c r="G25" i="1" s="1"/>
  <c r="E106" i="3"/>
  <c r="H97" i="3" l="1"/>
  <c r="C97" i="3" s="1"/>
  <c r="I97" i="3"/>
  <c r="I100" i="3" s="1"/>
  <c r="C106" i="3"/>
  <c r="C100" i="3" l="1"/>
  <c r="H100" i="3" s="1"/>
  <c r="I106" i="3"/>
  <c r="G29" i="1"/>
  <c r="D29" i="1" s="1"/>
  <c r="H106" i="3" l="1"/>
  <c r="F100" i="3"/>
  <c r="F106" i="3" s="1"/>
  <c r="F29" i="1" s="1"/>
  <c r="D100" i="3" l="1"/>
  <c r="D106" i="3" s="1"/>
  <c r="C29" i="1" s="1"/>
</calcChain>
</file>

<file path=xl/sharedStrings.xml><?xml version="1.0" encoding="utf-8"?>
<sst xmlns="http://schemas.openxmlformats.org/spreadsheetml/2006/main" count="391" uniqueCount="271">
  <si>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</si>
  <si>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</si>
  <si>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</si>
  <si>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</si>
  <si>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</si>
  <si>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</si>
  <si>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</si>
  <si>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</si>
  <si>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</si>
  <si>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</si>
  <si>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</si>
  <si>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</si>
  <si>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</si>
  <si>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</si>
  <si>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</si>
  <si>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</si>
  <si>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</si>
  <si>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</si>
  <si>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</si>
  <si>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Liabilities / Total Assets</t>
  </si>
  <si>
    <t>Current Ratio</t>
  </si>
  <si>
    <t>Output</t>
  </si>
  <si>
    <t>Total Equity per books  =</t>
  </si>
  <si>
    <t>Common Equity =</t>
  </si>
  <si>
    <t xml:space="preserve">Non-common Interest = </t>
  </si>
  <si>
    <t>Discount</t>
  </si>
  <si>
    <t>Orderly Liquidation Values =</t>
  </si>
  <si>
    <t>Book Current Ratio</t>
  </si>
  <si>
    <t>Orderly Liquidation Value per Shares =</t>
  </si>
  <si>
    <t>Book Quick Ratio</t>
  </si>
  <si>
    <t>Book Cash Ratio</t>
  </si>
  <si>
    <t>Most Recent Quarter Inputs</t>
  </si>
  <si>
    <t>Assets</t>
  </si>
  <si>
    <t>Book Figure</t>
  </si>
  <si>
    <t>Ajusted Valuation</t>
  </si>
  <si>
    <t>is_OP</t>
  </si>
  <si>
    <t>Liabilities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</si>
  <si>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</si>
  <si>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</si>
  <si>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</si>
  <si>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</si>
  <si>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</si>
  <si>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</si>
  <si>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</si>
  <si>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</si>
  <si>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</si>
  <si>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</si>
  <si>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</si>
  <si>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</si>
  <si>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</si>
  <si>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</si>
  <si>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</si>
  <si>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</si>
  <si>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</si>
  <si>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</si>
  <si>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</si>
  <si>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</si>
  <si>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</si>
  <si>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</si>
  <si>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</si>
  <si>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</si>
  <si>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</si>
  <si>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</si>
  <si>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</si>
  <si>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</si>
  <si>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</si>
  <si>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</si>
  <si>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</si>
  <si>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</si>
  <si>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</si>
  <si>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</si>
  <si>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</si>
  <si>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</si>
  <si>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</si>
  <si>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</si>
  <si>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</si>
  <si>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</si>
  <si>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</si>
  <si>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</si>
  <si>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</si>
  <si>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</si>
  <si>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</si>
  <si>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</si>
  <si>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</si>
  <si>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</si>
  <si>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</si>
  <si>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Balance Sheet items Adjustments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</si>
  <si>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</si>
  <si>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</si>
  <si>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</si>
  <si>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</si>
  <si>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</si>
  <si>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</si>
  <si>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</si>
  <si>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</si>
  <si>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20" type="noConversion"/>
  </si>
  <si>
    <t>Tax Rate</t>
    <phoneticPr fontId="20" type="noConversion"/>
  </si>
  <si>
    <t>COGS/Sales</t>
    <phoneticPr fontId="20" type="noConversion"/>
  </si>
  <si>
    <t>D&amp;A/Sales</t>
    <phoneticPr fontId="20" type="noConversion"/>
  </si>
  <si>
    <t>Capitalization:</t>
    <phoneticPr fontId="20" type="noConversion"/>
  </si>
  <si>
    <t>Base Year</t>
    <phoneticPr fontId="20" type="noConversion"/>
  </si>
  <si>
    <t>Normalized Year</t>
    <phoneticPr fontId="20" type="noConversion"/>
  </si>
  <si>
    <t>Gross Profit</t>
    <phoneticPr fontId="20" type="noConversion"/>
  </si>
  <si>
    <t>- Operating Expenses</t>
    <phoneticPr fontId="20" type="noConversion"/>
  </si>
  <si>
    <t>+ D&amp;A</t>
    <phoneticPr fontId="20" type="noConversion"/>
  </si>
  <si>
    <t>- COGS</t>
    <phoneticPr fontId="20" type="noConversion"/>
  </si>
  <si>
    <t>- R&amp;D</t>
    <phoneticPr fontId="20" type="noConversion"/>
  </si>
  <si>
    <t>- CAPX</t>
    <phoneticPr fontId="20" type="noConversion"/>
  </si>
  <si>
    <t>ΔWC</t>
    <phoneticPr fontId="20" type="noConversion"/>
  </si>
  <si>
    <t>- ΔWC</t>
    <phoneticPr fontId="20" type="noConversion"/>
  </si>
  <si>
    <t>- Non-controling Interests</t>
    <phoneticPr fontId="20" type="noConversion"/>
  </si>
  <si>
    <t>Pre-tax Profit</t>
    <phoneticPr fontId="20" type="noConversion"/>
  </si>
  <si>
    <t>After-tax Profit Margin</t>
    <phoneticPr fontId="20" type="noConversion"/>
  </si>
  <si>
    <t>After-tax Profit</t>
    <phoneticPr fontId="20" type="noConversion"/>
  </si>
  <si>
    <t>Valuation</t>
    <phoneticPr fontId="20" type="noConversion"/>
  </si>
  <si>
    <t>Noncurrent Liabilities</t>
    <phoneticPr fontId="20" type="noConversion"/>
  </si>
  <si>
    <t>ST AR</t>
    <phoneticPr fontId="20" type="noConversion"/>
  </si>
  <si>
    <t>Prepayments and Contract Assets</t>
    <phoneticPr fontId="20" type="noConversion"/>
  </si>
  <si>
    <t>PP&amp;E &amp; Right of Use Assets</t>
    <phoneticPr fontId="20" type="noConversion"/>
  </si>
  <si>
    <t>Properties under development</t>
    <phoneticPr fontId="20" type="noConversion"/>
  </si>
  <si>
    <t>Pre-tax Profit / Total Debt</t>
    <phoneticPr fontId="20" type="noConversion"/>
  </si>
  <si>
    <t>Interest/Sales</t>
    <phoneticPr fontId="20" type="noConversion"/>
  </si>
  <si>
    <t>Interest / Pre-tax Profit</t>
    <phoneticPr fontId="20" type="noConversion"/>
  </si>
  <si>
    <t>Pre-tax Profit/Sales</t>
    <phoneticPr fontId="20" type="noConversion"/>
  </si>
  <si>
    <t>Solvency Analysis</t>
    <phoneticPr fontId="20" type="noConversion"/>
  </si>
  <si>
    <t>Pre-tax Profit =</t>
    <phoneticPr fontId="20" type="noConversion"/>
  </si>
  <si>
    <t>Sales</t>
    <phoneticPr fontId="20" type="noConversion"/>
  </si>
  <si>
    <t>Normalized FCFE Analysis</t>
    <phoneticPr fontId="20" type="noConversion"/>
  </si>
  <si>
    <t>After-tax Profit Growth</t>
    <phoneticPr fontId="20" type="noConversion"/>
  </si>
  <si>
    <t>Pre-tax Minority Interests/Sales</t>
    <phoneticPr fontId="20" type="noConversion"/>
  </si>
  <si>
    <t>Operating Equity Valuation</t>
    <phoneticPr fontId="20" type="noConversion"/>
  </si>
  <si>
    <t>https://pages.stern.nyu.edu/~adamodar/New_Home_Page/datafile/wcdata.html</t>
    <phoneticPr fontId="20" type="noConversion"/>
  </si>
  <si>
    <t>Note:</t>
    <phoneticPr fontId="20" type="noConversion"/>
  </si>
  <si>
    <t>Income Statement</t>
    <phoneticPr fontId="20" type="noConversion"/>
  </si>
  <si>
    <t>Balance Sheet</t>
    <phoneticPr fontId="20" type="noConversion"/>
  </si>
  <si>
    <t>Restricted cash</t>
    <phoneticPr fontId="20" type="noConversion"/>
  </si>
  <si>
    <t>Non-Operating Assets</t>
    <phoneticPr fontId="20" type="noConversion"/>
  </si>
  <si>
    <t>Total Equity</t>
    <phoneticPr fontId="20" type="noConversion"/>
  </si>
  <si>
    <t>Non-common Interest</t>
    <phoneticPr fontId="20" type="noConversion"/>
  </si>
  <si>
    <t>Non-operating Cash</t>
    <phoneticPr fontId="20" type="noConversion"/>
  </si>
  <si>
    <t>Operating Assets</t>
    <phoneticPr fontId="20" type="noConversion"/>
  </si>
  <si>
    <t>Non-operating Assets</t>
    <phoneticPr fontId="20" type="noConversion"/>
  </si>
  <si>
    <t>Net Non-operating Assets</t>
    <phoneticPr fontId="20" type="noConversion"/>
  </si>
  <si>
    <t>Net Operating Assets</t>
    <phoneticPr fontId="20" type="noConversion"/>
  </si>
  <si>
    <t>- Noncommon Interest</t>
    <phoneticPr fontId="20" type="noConversion"/>
  </si>
  <si>
    <t>+ Net Non-Operating Valuation</t>
    <phoneticPr fontId="20" type="noConversion"/>
  </si>
  <si>
    <t>ST AR / Sales</t>
    <phoneticPr fontId="20" type="noConversion"/>
  </si>
  <si>
    <t>ST Inventory / Sales</t>
    <phoneticPr fontId="20" type="noConversion"/>
  </si>
  <si>
    <t>ST Inventory</t>
    <phoneticPr fontId="20" type="noConversion"/>
  </si>
  <si>
    <t>Profibility Qaulity Analysis</t>
    <phoneticPr fontId="20" type="noConversion"/>
  </si>
  <si>
    <t>2. Total Debt + PS + Options</t>
    <phoneticPr fontId="20" type="noConversion"/>
  </si>
  <si>
    <t xml:space="preserve"> - (Total Debt + PS + Options)</t>
    <phoneticPr fontId="20" type="noConversion"/>
  </si>
  <si>
    <t>- Non-intreset-bearing Debt</t>
    <phoneticPr fontId="20" type="noConversion"/>
  </si>
  <si>
    <t>3. Non-operating Assets</t>
    <phoneticPr fontId="20" type="noConversion"/>
  </si>
  <si>
    <t>4. Operating Assets</t>
    <phoneticPr fontId="20" type="noConversion"/>
  </si>
  <si>
    <t>External Drivers</t>
  </si>
  <si>
    <t>Internal Drivers</t>
  </si>
  <si>
    <t>Adj. Pre-tax ROA</t>
  </si>
  <si>
    <t>Operating ST Financial Assets</t>
  </si>
  <si>
    <t>Operating LT Financial Assets</t>
  </si>
  <si>
    <t>EPS</t>
  </si>
  <si>
    <t>Operating Equity Valuation</t>
  </si>
  <si>
    <t>Dividend method</t>
  </si>
  <si>
    <t>Last Revision:</t>
  </si>
  <si>
    <t>After-tax Profit =</t>
  </si>
  <si>
    <t>Selecting the Valuation method</t>
  </si>
  <si>
    <t>Lower</t>
  </si>
  <si>
    <t>Upper</t>
  </si>
  <si>
    <t>Value Range</t>
  </si>
  <si>
    <t>COGS</t>
  </si>
  <si>
    <t>Interest</t>
  </si>
  <si>
    <t>ΔWC</t>
  </si>
  <si>
    <t>- Non-controling Interests</t>
  </si>
  <si>
    <t xml:space="preserve">Pre-tax Profit 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</si>
  <si>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</si>
  <si>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</si>
  <si>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</si>
  <si>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</si>
  <si>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</si>
  <si>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</si>
  <si>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</si>
  <si>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</si>
  <si>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</si>
  <si>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Normalized Cost Structure</t>
  </si>
  <si>
    <t>Price Indicators</t>
  </si>
  <si>
    <t>Notes</t>
  </si>
  <si>
    <t>CN Onshore BBB- Bond yield</t>
  </si>
  <si>
    <t>CN Offshore BBB- Bond yield</t>
  </si>
  <si>
    <t>PB Ratio</t>
  </si>
  <si>
    <t>HK</t>
  </si>
  <si>
    <t>Market Yields</t>
  </si>
  <si>
    <t>Non-controlling Interests</t>
  </si>
  <si>
    <t>Watchlist &amp; Comp_Group:</t>
  </si>
  <si>
    <t>Normalized D/P</t>
  </si>
  <si>
    <t>Symbol:</t>
  </si>
  <si>
    <t>Name:</t>
  </si>
  <si>
    <t>Valued @</t>
    <phoneticPr fontId="20" type="noConversion"/>
  </si>
  <si>
    <t>Avg of E and D method</t>
    <phoneticPr fontId="20" type="noConversion"/>
  </si>
  <si>
    <t>Avg Valuation</t>
    <phoneticPr fontId="20" type="noConversion"/>
  </si>
  <si>
    <t>CAGR Calculator</t>
    <phoneticPr fontId="20" type="noConversion"/>
  </si>
  <si>
    <t>Inputs =</t>
    <phoneticPr fontId="20" type="noConversion"/>
  </si>
  <si>
    <t>CAGR =</t>
    <phoneticPr fontId="20" type="noConversion"/>
  </si>
  <si>
    <t>Initial Value (PV)</t>
    <phoneticPr fontId="20" type="noConversion"/>
  </si>
  <si>
    <t>Final Value (FV)</t>
    <phoneticPr fontId="20" type="noConversion"/>
  </si>
  <si>
    <t># of Years</t>
    <phoneticPr fontId="20" type="noConversion"/>
  </si>
  <si>
    <t>Base Case</t>
    <phoneticPr fontId="20" type="noConversion"/>
  </si>
  <si>
    <t>Pessimistic Case</t>
    <phoneticPr fontId="20" type="noConversion"/>
  </si>
  <si>
    <t>Dividend per share</t>
    <phoneticPr fontId="20" type="noConversion"/>
  </si>
  <si>
    <t>E/P Initial Rate of Retrun</t>
    <phoneticPr fontId="20" type="noConversion"/>
  </si>
  <si>
    <t>E/P Future Value is</t>
    <phoneticPr fontId="20" type="noConversion"/>
  </si>
  <si>
    <t>D/P Future Value is</t>
    <phoneticPr fontId="20" type="noConversion"/>
  </si>
  <si>
    <t>Target Return</t>
    <phoneticPr fontId="20" type="noConversion"/>
  </si>
  <si>
    <t>Target</t>
    <phoneticPr fontId="20" type="noConversion"/>
  </si>
  <si>
    <t>Lower</t>
    <phoneticPr fontId="20" type="noConversion"/>
  </si>
  <si>
    <t>Inputs</t>
    <phoneticPr fontId="20" type="noConversion"/>
  </si>
  <si>
    <t>Watchlist</t>
    <phoneticPr fontId="20" type="noConversion"/>
  </si>
  <si>
    <t>Comp_Group:</t>
    <phoneticPr fontId="20" type="noConversion"/>
  </si>
  <si>
    <t>Number of Shares:</t>
    <phoneticPr fontId="20" type="noConversion"/>
  </si>
  <si>
    <t>Reporting Currency:</t>
    <phoneticPr fontId="20" type="noConversion"/>
  </si>
  <si>
    <t>Most Recent Quarter</t>
    <phoneticPr fontId="20" type="noConversion"/>
  </si>
  <si>
    <t>Common Equity =</t>
    <phoneticPr fontId="20" type="noConversion"/>
  </si>
  <si>
    <t>D/P Dividend Yield</t>
    <phoneticPr fontId="20" type="noConversion"/>
  </si>
  <si>
    <t>Earnings Power Checklist</t>
    <phoneticPr fontId="20" type="noConversion"/>
  </si>
  <si>
    <t>Present</t>
    <phoneticPr fontId="20" type="noConversion"/>
  </si>
  <si>
    <t>1. Consumer monopoly?</t>
    <phoneticPr fontId="20" type="noConversion"/>
  </si>
  <si>
    <t>2. Conservatively financed?</t>
    <phoneticPr fontId="20" type="noConversion"/>
  </si>
  <si>
    <t>Past</t>
    <phoneticPr fontId="20" type="noConversion"/>
  </si>
  <si>
    <t>Future</t>
    <phoneticPr fontId="20" type="noConversion"/>
  </si>
  <si>
    <t>5. Can earnings be sustained?</t>
    <phoneticPr fontId="20" type="noConversion"/>
  </si>
  <si>
    <t>Consumer Monopoly Test</t>
    <phoneticPr fontId="20" type="noConversion"/>
  </si>
  <si>
    <t>If you had access to billions of dollars and your pick of the top fifty managers in the country, could you start a business and successfully compete with the business in question?</t>
    <phoneticPr fontId="20" type="noConversion"/>
  </si>
  <si>
    <t>6. No big MCX-D&amp;A required?</t>
  </si>
  <si>
    <t>EBIT =</t>
    <phoneticPr fontId="20" type="noConversion"/>
  </si>
  <si>
    <t>EBIT</t>
    <phoneticPr fontId="20" type="noConversion"/>
  </si>
  <si>
    <t>(OPEX+R&amp;D)/Sales</t>
    <phoneticPr fontId="20" type="noConversion"/>
  </si>
  <si>
    <t>CAPX/Sales</t>
    <phoneticPr fontId="20" type="noConversion"/>
  </si>
  <si>
    <t>(CAPX-D&amp;A)/Sales</t>
    <phoneticPr fontId="20" type="noConversion"/>
  </si>
  <si>
    <t>Mid</t>
    <phoneticPr fontId="20" type="noConversion"/>
  </si>
  <si>
    <t>3. Upward earnings trend?</t>
    <phoneticPr fontId="20" type="noConversion"/>
  </si>
  <si>
    <t>4. Stable margin and ROE?</t>
    <phoneticPr fontId="20" type="noConversion"/>
  </si>
  <si>
    <t>- Pre-tax Non-controling Interests</t>
    <phoneticPr fontId="20" type="noConversion"/>
  </si>
  <si>
    <t>EBIT/Sales</t>
    <phoneticPr fontId="20" type="noConversion"/>
  </si>
  <si>
    <t>EBIT Growth</t>
    <phoneticPr fontId="20" type="noConversion"/>
  </si>
  <si>
    <t>CAPX-D&amp;A</t>
    <phoneticPr fontId="20" type="noConversion"/>
  </si>
  <si>
    <t>OPEX+R&amp;D</t>
    <phoneticPr fontId="20" type="noConversion"/>
  </si>
  <si>
    <t>unclear</t>
  </si>
  <si>
    <t>- (CAPX - D&amp;A)</t>
    <phoneticPr fontId="20" type="noConversion"/>
  </si>
  <si>
    <t>- (OPEX + R&amp;D) =</t>
    <phoneticPr fontId="20" type="noConversion"/>
  </si>
  <si>
    <t>Valuation method</t>
    <phoneticPr fontId="20" type="noConversion"/>
  </si>
  <si>
    <t>Balance Sheet</t>
    <phoneticPr fontId="20" type="noConversion"/>
  </si>
  <si>
    <t>Years of Projection</t>
    <phoneticPr fontId="20" type="noConversion"/>
  </si>
  <si>
    <t>Cost Analysis</t>
    <phoneticPr fontId="20" type="noConversion"/>
  </si>
  <si>
    <t>Dividend Yield</t>
    <phoneticPr fontId="20" type="noConversion"/>
  </si>
  <si>
    <t>Discount Rate (US)</t>
    <phoneticPr fontId="20" type="noConversion"/>
  </si>
  <si>
    <t>Discount Rate (CN)</t>
    <phoneticPr fontId="20" type="noConversion"/>
  </si>
  <si>
    <t>Choice of Discount Rate</t>
    <phoneticPr fontId="20" type="noConversion"/>
  </si>
  <si>
    <t>- Interest Expense</t>
    <phoneticPr fontId="20" type="noConversion"/>
  </si>
  <si>
    <t>Base Case Valuation</t>
    <phoneticPr fontId="20" type="noConversion"/>
  </si>
  <si>
    <t>Unclear</t>
  </si>
  <si>
    <t>Normalized PE Ratio</t>
    <phoneticPr fontId="20" type="noConversion"/>
  </si>
  <si>
    <t>CN</t>
  </si>
  <si>
    <t>LT AR or Prepayments</t>
    <phoneticPr fontId="20" type="noConversion"/>
  </si>
  <si>
    <t>Prepayments or Contract Assets</t>
    <phoneticPr fontId="20" type="noConversion"/>
  </si>
  <si>
    <t>ΔWC/Δsales</t>
    <phoneticPr fontId="20" type="noConversion"/>
  </si>
  <si>
    <t>6601.HK</t>
  </si>
  <si>
    <t>朝云集团</t>
  </si>
  <si>
    <t>Tier 3</t>
  </si>
  <si>
    <t>C0007</t>
  </si>
  <si>
    <t>CNY</t>
  </si>
  <si>
    <t>Avg</t>
  </si>
  <si>
    <t>HKD</t>
    <phoneticPr fontId="20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</si>
</sst>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</numFmts>
  <fonts count="29" x14ac:knownFonts="1">
    <font>
      <sz val="10"/>
      <color rgb="FF000000"/>
      <name val="Arial"/>
      <scheme val="minor"/>
    </font>
    <font>
      <sz val="11"/>
      <color theme="1"/>
      <name val="Times New Roman"/>
      <family val="1"/>
    </font>
    <font>
      <sz val="11"/>
      <color rgb="FF0000FF"/>
      <name val="Times New Roman"/>
      <family val="1"/>
    </font>
    <font>
      <b/>
      <sz val="11"/>
      <color theme="1"/>
      <name val="Times New Roman"/>
      <family val="1"/>
    </font>
    <font>
      <sz val="11"/>
      <color rgb="FF000000"/>
      <name val="Times New Roman"/>
      <family val="1"/>
    </font>
    <font>
      <b/>
      <sz val="11"/>
      <color rgb="FF002060"/>
      <name val="Times New Roman"/>
      <family val="1"/>
    </font>
    <font>
      <sz val="11"/>
      <name val="Times New Roman"/>
      <family val="1"/>
    </font>
    <font>
      <i/>
      <sz val="11"/>
      <color theme="1"/>
      <name val="Times New Roman"/>
      <family val="1"/>
    </font>
    <font>
      <sz val="11"/>
      <color rgb="FFA61C00"/>
      <name val="Times New Roman"/>
      <family val="1"/>
    </font>
    <font>
      <sz val="11"/>
      <color rgb="FFFFFFFF"/>
      <name val="Times New Roman"/>
      <family val="1"/>
    </font>
    <font>
      <i/>
      <sz val="11"/>
      <color rgb="FF000000"/>
      <name val="Times New Roman"/>
      <family val="1"/>
    </font>
    <font>
      <sz val="11"/>
      <color rgb="FFC00000"/>
      <name val="Times New Roman"/>
      <family val="1"/>
    </font>
    <font>
      <b/>
      <sz val="12"/>
      <color rgb="FF002060"/>
      <name val="Times New Roman"/>
      <family val="1"/>
    </font>
    <font>
      <b/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sz val="11"/>
      <color theme="0"/>
      <name val="Times New Roman"/>
      <family val="1"/>
    </font>
    <font>
      <u/>
      <sz val="11"/>
      <color rgb="FF000000"/>
      <name val="Times New Roman"/>
      <family val="1"/>
    </font>
    <font>
      <sz val="10"/>
      <color rgb="FF000000"/>
      <name val="Arial"/>
      <family val="2"/>
      <scheme val="minor"/>
    </font>
    <font>
      <b/>
      <sz val="11"/>
      <name val="Times New Roman"/>
      <family val="1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u/>
      <sz val="11"/>
      <color theme="1"/>
      <name val="Times New Roman"/>
      <family val="1"/>
    </font>
    <font>
      <i/>
      <sz val="11"/>
      <name val="Times New Roman"/>
      <family val="1"/>
    </font>
    <font>
      <i/>
      <sz val="11"/>
      <color rgb="FF0000FF"/>
      <name val="Times New Roman"/>
      <family val="1"/>
    </font>
    <font>
      <b/>
      <u/>
      <sz val="11"/>
      <color rgb="FF000000"/>
      <name val="Times New Roman"/>
      <family val="1"/>
    </font>
    <font>
      <u/>
      <sz val="10"/>
      <color rgb="FF0000FF"/>
      <name val="Arial"/>
      <family val="2"/>
      <scheme val="minor"/>
    </font>
    <font>
      <b/>
      <u/>
      <sz val="11"/>
      <color theme="1"/>
      <name val="Times New Roman"/>
      <family val="1"/>
    </font>
    <font>
      <sz val="10"/>
      <color rgb="FF000000"/>
      <name val="Times New Roman"/>
      <family val="1"/>
    </font>
    <font>
      <sz val="10"/>
      <color theme="1"/>
      <name val="Times New Roman"/>
      <family val="1"/>
    </font>
  </fonts>
  <fills count="14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CCCCCC"/>
        <bgColor rgb="FFCCCCCC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</fills>
  <borders count="23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176" fontId="17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287">
    <xf numFmtId="0" fontId="0" fillId="0" borderId="0" xfId="0"/>
    <xf numFmtId="0" fontId="4" fillId="0" borderId="0" xfId="0" applyFont="1"/>
    <xf numFmtId="0" fontId="4" fillId="6" borderId="0" xfId="0" applyFont="1" applyFill="1"/>
    <xf numFmtId="0" fontId="1" fillId="0" borderId="3" xfId="0" applyFont="1" applyBorder="1"/>
    <xf numFmtId="0" fontId="1" fillId="3" borderId="3" xfId="0" applyFont="1" applyFill="1" applyBorder="1"/>
    <xf numFmtId="0" fontId="4" fillId="6" borderId="3" xfId="0" applyFont="1" applyFill="1" applyBorder="1"/>
    <xf numFmtId="0" fontId="12" fillId="0" borderId="1" xfId="0" applyFont="1" applyBorder="1"/>
    <xf numFmtId="0" fontId="4" fillId="0" borderId="1" xfId="0" applyFont="1" applyBorder="1"/>
    <xf numFmtId="0" fontId="8" fillId="0" borderId="3" xfId="0" applyFont="1" applyBorder="1"/>
    <xf numFmtId="0" fontId="1" fillId="0" borderId="3" xfId="0" applyFont="1" applyBorder="1" applyAlignment="1">
      <alignment horizontal="left"/>
    </xf>
    <xf numFmtId="0" fontId="13" fillId="7" borderId="3" xfId="0" applyFont="1" applyFill="1" applyBorder="1"/>
    <xf numFmtId="0" fontId="1" fillId="0" borderId="3" xfId="0" applyFont="1" applyBorder="1" applyAlignment="1">
      <alignment horizontal="center"/>
    </xf>
    <xf numFmtId="0" fontId="10" fillId="0" borderId="1" xfId="0" applyFont="1" applyBorder="1" applyAlignment="1">
      <alignment horizontal="right"/>
    </xf>
    <xf numFmtId="0" fontId="3" fillId="3" borderId="3" xfId="0" applyFont="1" applyFill="1" applyBorder="1"/>
    <xf numFmtId="0" fontId="14" fillId="0" borderId="0" xfId="0" applyFont="1"/>
    <xf numFmtId="0" fontId="9" fillId="0" borderId="0" xfId="0" applyFont="1"/>
    <xf numFmtId="0" fontId="3" fillId="6" borderId="3" xfId="0" applyFont="1" applyFill="1" applyBorder="1"/>
    <xf numFmtId="0" fontId="9" fillId="0" borderId="1" xfId="0" applyFont="1" applyBorder="1"/>
    <xf numFmtId="0" fontId="9" fillId="0" borderId="3" xfId="0" applyFont="1" applyBorder="1"/>
    <xf numFmtId="0" fontId="1" fillId="0" borderId="0" xfId="0" applyFont="1"/>
    <xf numFmtId="0" fontId="1" fillId="0" borderId="0" xfId="0" quotePrefix="1" applyFont="1"/>
    <xf numFmtId="0" fontId="13" fillId="0" borderId="3" xfId="0" applyFont="1" applyBorder="1" applyAlignment="1">
      <alignment horizontal="center"/>
    </xf>
    <xf numFmtId="0" fontId="1" fillId="5" borderId="3" xfId="0" applyFont="1" applyFill="1" applyBorder="1"/>
    <xf numFmtId="0" fontId="7" fillId="0" borderId="3" xfId="0" applyFont="1" applyBorder="1"/>
    <xf numFmtId="0" fontId="2" fillId="0" borderId="0" xfId="0" applyFont="1"/>
    <xf numFmtId="0" fontId="3" fillId="0" borderId="3" xfId="0" applyFont="1" applyBorder="1"/>
    <xf numFmtId="10" fontId="2" fillId="0" borderId="0" xfId="0" applyNumberFormat="1" applyFont="1" applyAlignment="1">
      <alignment horizontal="left"/>
    </xf>
    <xf numFmtId="3" fontId="2" fillId="0" borderId="0" xfId="0" applyNumberFormat="1" applyFont="1" applyAlignment="1">
      <alignment horizontal="left"/>
    </xf>
    <xf numFmtId="0" fontId="4" fillId="0" borderId="0" xfId="0" quotePrefix="1" applyFont="1"/>
    <xf numFmtId="10" fontId="4" fillId="0" borderId="3" xfId="0" applyNumberFormat="1" applyFont="1" applyBorder="1" applyAlignment="1">
      <alignment horizontal="center"/>
    </xf>
    <xf numFmtId="0" fontId="15" fillId="0" borderId="3" xfId="0" applyFont="1" applyBorder="1"/>
    <xf numFmtId="0" fontId="13" fillId="0" borderId="3" xfId="0" applyFont="1" applyBorder="1"/>
    <xf numFmtId="0" fontId="15" fillId="0" borderId="0" xfId="0" applyFont="1"/>
    <xf numFmtId="0" fontId="2" fillId="0" borderId="3" xfId="0" applyFont="1" applyBorder="1"/>
    <xf numFmtId="0" fontId="11" fillId="0" borderId="3" xfId="0" applyFont="1" applyBorder="1"/>
    <xf numFmtId="0" fontId="1" fillId="0" borderId="4" xfId="0" applyFont="1" applyBorder="1"/>
    <xf numFmtId="0" fontId="4" fillId="0" borderId="8" xfId="0" applyFont="1" applyBorder="1"/>
    <xf numFmtId="4" fontId="4" fillId="0" borderId="3" xfId="0" applyNumberFormat="1" applyFont="1" applyBorder="1"/>
    <xf numFmtId="182" fontId="4" fillId="0" borderId="0" xfId="1" applyNumberFormat="1" applyFont="1"/>
    <xf numFmtId="176" fontId="4" fillId="0" borderId="0" xfId="1" applyFont="1"/>
    <xf numFmtId="3" fontId="2" fillId="0" borderId="3" xfId="0" applyNumberFormat="1" applyFont="1" applyBorder="1"/>
    <xf numFmtId="3" fontId="6" fillId="0" borderId="3" xfId="0" applyNumberFormat="1" applyFont="1" applyBorder="1" applyAlignment="1">
      <alignment horizontal="center"/>
    </xf>
    <xf numFmtId="10" fontId="4" fillId="0" borderId="5" xfId="0" applyNumberFormat="1" applyFont="1" applyBorder="1" applyAlignment="1">
      <alignment horizontal="center"/>
    </xf>
    <xf numFmtId="10" fontId="18" fillId="0" borderId="4" xfId="0" applyNumberFormat="1" applyFont="1" applyBorder="1" applyAlignment="1">
      <alignment horizontal="center"/>
    </xf>
    <xf numFmtId="0" fontId="13" fillId="0" borderId="3" xfId="0" applyFont="1" applyBorder="1" applyAlignment="1">
      <alignment horizontal="left"/>
    </xf>
    <xf numFmtId="0" fontId="12" fillId="0" borderId="1" xfId="0" applyFont="1" applyBorder="1" applyAlignment="1">
      <alignment horizontal="left"/>
    </xf>
    <xf numFmtId="0" fontId="12" fillId="0" borderId="4" xfId="0" applyFont="1" applyBorder="1" applyAlignment="1">
      <alignment horizontal="left"/>
    </xf>
    <xf numFmtId="0" fontId="13" fillId="0" borderId="0" xfId="0" applyFont="1" applyAlignment="1">
      <alignment horizontal="center"/>
    </xf>
    <xf numFmtId="181" fontId="15" fillId="4" borderId="2" xfId="0" applyNumberFormat="1" applyFont="1" applyFill="1" applyBorder="1" applyAlignment="1">
      <alignment horizontal="center"/>
    </xf>
    <xf numFmtId="181" fontId="15" fillId="4" borderId="6" xfId="0" applyNumberFormat="1" applyFont="1" applyFill="1" applyBorder="1" applyAlignment="1">
      <alignment horizontal="center"/>
    </xf>
    <xf numFmtId="0" fontId="13" fillId="0" borderId="4" xfId="0" applyFont="1" applyBorder="1"/>
    <xf numFmtId="181" fontId="15" fillId="0" borderId="3" xfId="0" applyNumberFormat="1" applyFont="1" applyBorder="1" applyAlignment="1">
      <alignment horizontal="center"/>
    </xf>
    <xf numFmtId="3" fontId="6" fillId="0" borderId="3" xfId="0" applyNumberFormat="1" applyFont="1" applyBorder="1"/>
    <xf numFmtId="0" fontId="13" fillId="0" borderId="4" xfId="0" applyFont="1" applyBorder="1" applyAlignment="1">
      <alignment horizontal="left"/>
    </xf>
    <xf numFmtId="4" fontId="1" fillId="0" borderId="3" xfId="0" applyNumberFormat="1" applyFont="1" applyBorder="1" applyAlignment="1">
      <alignment horizontal="center"/>
    </xf>
    <xf numFmtId="0" fontId="18" fillId="0" borderId="3" xfId="0" applyFont="1" applyBorder="1" applyAlignment="1">
      <alignment horizontal="center" wrapText="1"/>
    </xf>
    <xf numFmtId="10" fontId="1" fillId="0" borderId="3" xfId="0" applyNumberFormat="1" applyFont="1" applyBorder="1" applyAlignment="1">
      <alignment horizontal="center"/>
    </xf>
    <xf numFmtId="10" fontId="1" fillId="0" borderId="5" xfId="0" applyNumberFormat="1" applyFont="1" applyBorder="1" applyAlignment="1">
      <alignment horizontal="center"/>
    </xf>
    <xf numFmtId="4" fontId="1" fillId="0" borderId="4" xfId="0" applyNumberFormat="1" applyFont="1" applyBorder="1" applyAlignment="1">
      <alignment horizontal="center"/>
    </xf>
    <xf numFmtId="3" fontId="2" fillId="8" borderId="3" xfId="0" applyNumberFormat="1" applyFont="1" applyFill="1" applyBorder="1"/>
    <xf numFmtId="10" fontId="2" fillId="8" borderId="3" xfId="0" applyNumberFormat="1" applyFont="1" applyFill="1" applyBorder="1" applyAlignment="1">
      <alignment horizontal="center"/>
    </xf>
    <xf numFmtId="3" fontId="1" fillId="0" borderId="3" xfId="0" applyNumberFormat="1" applyFont="1" applyBorder="1"/>
    <xf numFmtId="10" fontId="7" fillId="0" borderId="3" xfId="0" applyNumberFormat="1" applyFont="1" applyBorder="1" applyAlignment="1">
      <alignment horizontal="center"/>
    </xf>
    <xf numFmtId="180" fontId="7" fillId="2" borderId="3" xfId="0" applyNumberFormat="1" applyFont="1" applyFill="1" applyBorder="1" applyAlignment="1">
      <alignment horizontal="right"/>
    </xf>
    <xf numFmtId="0" fontId="12" fillId="0" borderId="3" xfId="0" applyFont="1" applyBorder="1"/>
    <xf numFmtId="3" fontId="6" fillId="0" borderId="3" xfId="0" applyNumberFormat="1" applyFont="1" applyBorder="1" applyAlignment="1">
      <alignment horizontal="right"/>
    </xf>
    <xf numFmtId="4" fontId="1" fillId="2" borderId="3" xfId="0" applyNumberFormat="1" applyFont="1" applyFill="1" applyBorder="1"/>
    <xf numFmtId="0" fontId="11" fillId="0" borderId="5" xfId="0" applyFont="1" applyBorder="1"/>
    <xf numFmtId="3" fontId="4" fillId="0" borderId="3" xfId="0" applyNumberFormat="1" applyFont="1" applyBorder="1"/>
    <xf numFmtId="3" fontId="1" fillId="0" borderId="7" xfId="0" applyNumberFormat="1" applyFont="1" applyBorder="1"/>
    <xf numFmtId="3" fontId="1" fillId="0" borderId="5" xfId="0" applyNumberFormat="1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0" fontId="4" fillId="0" borderId="3" xfId="0" applyNumberFormat="1" applyFont="1" applyBorder="1"/>
    <xf numFmtId="0" fontId="4" fillId="0" borderId="3" xfId="0" quotePrefix="1" applyFont="1" applyBorder="1"/>
    <xf numFmtId="0" fontId="21" fillId="0" borderId="3" xfId="0" applyFont="1" applyBorder="1" applyAlignment="1">
      <alignment horizontal="center"/>
    </xf>
    <xf numFmtId="0" fontId="16" fillId="0" borderId="3" xfId="0" applyFont="1" applyBorder="1" applyAlignment="1">
      <alignment horizontal="center"/>
    </xf>
    <xf numFmtId="3" fontId="1" fillId="0" borderId="9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right"/>
    </xf>
    <xf numFmtId="0" fontId="1" fillId="0" borderId="5" xfId="0" applyFont="1" applyBorder="1"/>
    <xf numFmtId="3" fontId="1" fillId="0" borderId="5" xfId="0" applyNumberFormat="1" applyFont="1" applyBorder="1"/>
    <xf numFmtId="0" fontId="1" fillId="0" borderId="9" xfId="0" applyFont="1" applyBorder="1"/>
    <xf numFmtId="3" fontId="7" fillId="0" borderId="9" xfId="0" applyNumberFormat="1" applyFont="1" applyBorder="1"/>
    <xf numFmtId="10" fontId="1" fillId="0" borderId="9" xfId="0" applyNumberFormat="1" applyFont="1" applyBorder="1" applyAlignment="1">
      <alignment horizontal="center"/>
    </xf>
    <xf numFmtId="3" fontId="2" fillId="8" borderId="9" xfId="0" applyNumberFormat="1" applyFont="1" applyFill="1" applyBorder="1"/>
    <xf numFmtId="3" fontId="4" fillId="0" borderId="0" xfId="0" applyNumberFormat="1" applyFont="1"/>
    <xf numFmtId="3" fontId="2" fillId="9" borderId="3" xfId="0" applyNumberFormat="1" applyFont="1" applyFill="1" applyBorder="1" applyAlignment="1">
      <alignment horizontal="center"/>
    </xf>
    <xf numFmtId="0" fontId="4" fillId="0" borderId="4" xfId="0" applyFont="1" applyBorder="1"/>
    <xf numFmtId="0" fontId="4" fillId="0" borderId="3" xfId="0" applyFont="1" applyBorder="1"/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0" fontId="5" fillId="0" borderId="4" xfId="0" applyFont="1" applyBorder="1"/>
    <xf numFmtId="3" fontId="4" fillId="0" borderId="0" xfId="0" applyNumberFormat="1" applyFont="1" applyAlignment="1">
      <alignment horizontal="center"/>
    </xf>
    <xf numFmtId="10" fontId="7" fillId="0" borderId="3" xfId="0" applyNumberFormat="1" applyFont="1" applyBorder="1" applyAlignment="1">
      <alignment horizontal="right"/>
    </xf>
    <xf numFmtId="10" fontId="6" fillId="0" borderId="4" xfId="0" applyNumberFormat="1" applyFont="1" applyBorder="1" applyAlignment="1">
      <alignment horizontal="center"/>
    </xf>
    <xf numFmtId="0" fontId="6" fillId="0" borderId="3" xfId="0" applyFont="1" applyBorder="1" applyAlignment="1">
      <alignment horizontal="center" wrapText="1"/>
    </xf>
    <xf numFmtId="0" fontId="6" fillId="0" borderId="5" xfId="0" applyFont="1" applyBorder="1" applyAlignment="1">
      <alignment horizontal="center" wrapText="1"/>
    </xf>
    <xf numFmtId="0" fontId="22" fillId="0" borderId="3" xfId="0" applyFont="1" applyBorder="1" applyAlignment="1">
      <alignment horizontal="right" wrapText="1"/>
    </xf>
    <xf numFmtId="0" fontId="6" fillId="0" borderId="3" xfId="0" quotePrefix="1" applyFont="1" applyBorder="1" applyAlignment="1">
      <alignment horizontal="center" wrapText="1"/>
    </xf>
    <xf numFmtId="0" fontId="6" fillId="0" borderId="4" xfId="0" applyFont="1" applyBorder="1" applyAlignment="1">
      <alignment horizontal="center" wrapText="1"/>
    </xf>
    <xf numFmtId="0" fontId="6" fillId="0" borderId="0" xfId="0" quotePrefix="1" applyFont="1" applyAlignment="1">
      <alignment horizontal="center"/>
    </xf>
    <xf numFmtId="0" fontId="6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8" fillId="0" borderId="8" xfId="0" applyFont="1" applyBorder="1" applyAlignment="1">
      <alignment horizontal="center"/>
    </xf>
    <xf numFmtId="0" fontId="1" fillId="0" borderId="3" xfId="0" applyFont="1" applyBorder="1" applyAlignment="1">
      <alignment horizontal="right"/>
    </xf>
    <xf numFmtId="0" fontId="1" fillId="0" borderId="3" xfId="0" quotePrefix="1" applyFont="1" applyBorder="1"/>
    <xf numFmtId="0" fontId="4" fillId="0" borderId="7" xfId="0" quotePrefix="1" applyFont="1" applyBorder="1"/>
    <xf numFmtId="0" fontId="5" fillId="0" borderId="1" xfId="0" applyFont="1" applyBorder="1" applyAlignment="1">
      <alignment vertical="center"/>
    </xf>
    <xf numFmtId="10" fontId="4" fillId="0" borderId="4" xfId="0" applyNumberFormat="1" applyFont="1" applyBorder="1" applyAlignment="1">
      <alignment horizontal="center"/>
    </xf>
    <xf numFmtId="3" fontId="4" fillId="0" borderId="7" xfId="0" applyNumberFormat="1" applyFont="1" applyBorder="1" applyAlignment="1">
      <alignment horizontal="center"/>
    </xf>
    <xf numFmtId="184" fontId="4" fillId="0" borderId="0" xfId="0" applyNumberFormat="1" applyFont="1" applyAlignment="1">
      <alignment horizontal="center"/>
    </xf>
    <xf numFmtId="0" fontId="19" fillId="0" borderId="0" xfId="2"/>
    <xf numFmtId="0" fontId="16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10" fontId="4" fillId="0" borderId="3" xfId="0" applyNumberFormat="1" applyFont="1" applyBorder="1" applyAlignment="1">
      <alignment horizontal="left"/>
    </xf>
    <xf numFmtId="0" fontId="18" fillId="0" borderId="4" xfId="0" applyFont="1" applyBorder="1" applyAlignment="1">
      <alignment horizontal="center" wrapText="1"/>
    </xf>
    <xf numFmtId="0" fontId="18" fillId="0" borderId="8" xfId="0" applyFont="1" applyBorder="1" applyAlignment="1">
      <alignment horizontal="center" wrapText="1"/>
    </xf>
    <xf numFmtId="3" fontId="6" fillId="0" borderId="5" xfId="0" applyNumberFormat="1" applyFont="1" applyBorder="1"/>
    <xf numFmtId="3" fontId="4" fillId="0" borderId="4" xfId="0" applyNumberFormat="1" applyFont="1" applyBorder="1"/>
    <xf numFmtId="3" fontId="1" fillId="0" borderId="4" xfId="0" applyNumberFormat="1" applyFont="1" applyBorder="1"/>
    <xf numFmtId="0" fontId="6" fillId="0" borderId="4" xfId="0" applyFont="1" applyBorder="1" applyAlignment="1">
      <alignment horizontal="center"/>
    </xf>
    <xf numFmtId="3" fontId="2" fillId="8" borderId="4" xfId="0" applyNumberFormat="1" applyFont="1" applyFill="1" applyBorder="1"/>
    <xf numFmtId="0" fontId="1" fillId="0" borderId="7" xfId="0" quotePrefix="1" applyFont="1" applyBorder="1"/>
    <xf numFmtId="0" fontId="4" fillId="0" borderId="7" xfId="0" applyFont="1" applyBorder="1"/>
    <xf numFmtId="184" fontId="4" fillId="0" borderId="3" xfId="0" applyNumberFormat="1" applyFont="1" applyBorder="1" applyAlignment="1">
      <alignment horizontal="center"/>
    </xf>
    <xf numFmtId="0" fontId="13" fillId="10" borderId="4" xfId="0" quotePrefix="1" applyFont="1" applyFill="1" applyBorder="1" applyAlignment="1">
      <alignment horizontal="center"/>
    </xf>
    <xf numFmtId="0" fontId="6" fillId="0" borderId="3" xfId="0" applyFont="1" applyBorder="1"/>
    <xf numFmtId="3" fontId="4" fillId="0" borderId="7" xfId="0" applyNumberFormat="1" applyFont="1" applyBorder="1"/>
    <xf numFmtId="0" fontId="16" fillId="0" borderId="0" xfId="0" applyFont="1" applyAlignment="1">
      <alignment horizontal="center"/>
    </xf>
    <xf numFmtId="3" fontId="2" fillId="0" borderId="3" xfId="0" applyNumberFormat="1" applyFont="1" applyBorder="1" applyAlignment="1">
      <alignment horizontal="center"/>
    </xf>
    <xf numFmtId="39" fontId="4" fillId="0" borderId="3" xfId="1" applyNumberFormat="1" applyFont="1" applyBorder="1" applyAlignment="1">
      <alignment horizontal="center"/>
    </xf>
    <xf numFmtId="2" fontId="4" fillId="0" borderId="3" xfId="0" applyNumberFormat="1" applyFont="1" applyBorder="1" applyAlignment="1">
      <alignment horizontal="center"/>
    </xf>
    <xf numFmtId="2" fontId="4" fillId="0" borderId="0" xfId="1" applyNumberFormat="1" applyFont="1" applyAlignment="1">
      <alignment horizontal="left"/>
    </xf>
    <xf numFmtId="4" fontId="2" fillId="0" borderId="3" xfId="0" applyNumberFormat="1" applyFont="1" applyBorder="1" applyAlignment="1">
      <alignment horizontal="right"/>
    </xf>
    <xf numFmtId="4" fontId="2" fillId="0" borderId="4" xfId="0" applyNumberFormat="1" applyFont="1" applyBorder="1" applyAlignment="1">
      <alignment horizontal="center"/>
    </xf>
    <xf numFmtId="0" fontId="2" fillId="0" borderId="3" xfId="0" applyFont="1" applyBorder="1" applyAlignment="1">
      <alignment horizontal="left"/>
    </xf>
    <xf numFmtId="9" fontId="4" fillId="0" borderId="0" xfId="0" applyNumberFormat="1" applyFont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14" xfId="0" applyFont="1" applyBorder="1" applyAlignment="1">
      <alignment horizontal="center"/>
    </xf>
    <xf numFmtId="0" fontId="4" fillId="0" borderId="14" xfId="0" quotePrefix="1" applyFont="1" applyBorder="1" applyAlignment="1">
      <alignment horizontal="center"/>
    </xf>
    <xf numFmtId="0" fontId="13" fillId="7" borderId="3" xfId="0" applyFont="1" applyFill="1" applyBorder="1" applyAlignment="1">
      <alignment horizontal="center"/>
    </xf>
    <xf numFmtId="0" fontId="4" fillId="0" borderId="14" xfId="0" applyFont="1" applyBorder="1"/>
    <xf numFmtId="0" fontId="1" fillId="0" borderId="14" xfId="0" applyFont="1" applyBorder="1"/>
    <xf numFmtId="0" fontId="13" fillId="7" borderId="3" xfId="0" applyFont="1" applyFill="1" applyBorder="1" applyAlignment="1">
      <alignment horizontal="left"/>
    </xf>
    <xf numFmtId="0" fontId="24" fillId="0" borderId="0" xfId="0" applyFont="1"/>
    <xf numFmtId="8" fontId="4" fillId="0" borderId="0" xfId="0" applyNumberFormat="1" applyFont="1" applyAlignment="1">
      <alignment horizontal="center"/>
    </xf>
    <xf numFmtId="184" fontId="4" fillId="0" borderId="7" xfId="0" applyNumberFormat="1" applyFont="1" applyBorder="1" applyAlignment="1">
      <alignment horizontal="center"/>
    </xf>
    <xf numFmtId="0" fontId="4" fillId="0" borderId="0" xfId="0" applyFont="1" applyAlignment="1">
      <alignment horizontal="right"/>
    </xf>
    <xf numFmtId="0" fontId="4" fillId="0" borderId="1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3" fontId="2" fillId="9" borderId="5" xfId="0" applyNumberFormat="1" applyFont="1" applyFill="1" applyBorder="1" applyAlignment="1">
      <alignment horizontal="right"/>
    </xf>
    <xf numFmtId="3" fontId="2" fillId="9" borderId="3" xfId="0" applyNumberFormat="1" applyFont="1" applyFill="1" applyBorder="1" applyAlignment="1">
      <alignment horizontal="right"/>
    </xf>
    <xf numFmtId="3" fontId="6" fillId="0" borderId="4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right"/>
    </xf>
    <xf numFmtId="10" fontId="1" fillId="0" borderId="3" xfId="0" applyNumberFormat="1" applyFont="1" applyBorder="1" applyAlignment="1">
      <alignment horizontal="right"/>
    </xf>
    <xf numFmtId="3" fontId="4" fillId="0" borderId="0" xfId="0" applyNumberFormat="1" applyFont="1" applyAlignment="1">
      <alignment horizontal="right"/>
    </xf>
    <xf numFmtId="10" fontId="6" fillId="0" borderId="4" xfId="0" applyNumberFormat="1" applyFont="1" applyBorder="1" applyAlignment="1">
      <alignment horizontal="right"/>
    </xf>
    <xf numFmtId="10" fontId="1" fillId="0" borderId="5" xfId="0" applyNumberFormat="1" applyFont="1" applyBorder="1" applyAlignment="1">
      <alignment horizontal="right"/>
    </xf>
    <xf numFmtId="179" fontId="1" fillId="0" borderId="3" xfId="0" applyNumberFormat="1" applyFont="1" applyBorder="1" applyAlignment="1">
      <alignment horizontal="right"/>
    </xf>
    <xf numFmtId="4" fontId="1" fillId="0" borderId="4" xfId="0" applyNumberFormat="1" applyFont="1" applyBorder="1" applyAlignment="1">
      <alignment horizontal="right"/>
    </xf>
    <xf numFmtId="10" fontId="10" fillId="0" borderId="0" xfId="0" applyNumberFormat="1" applyFont="1" applyAlignment="1">
      <alignment horizontal="right"/>
    </xf>
    <xf numFmtId="10" fontId="10" fillId="0" borderId="3" xfId="0" applyNumberFormat="1" applyFont="1" applyBorder="1" applyAlignment="1">
      <alignment horizontal="right"/>
    </xf>
    <xf numFmtId="3" fontId="1" fillId="0" borderId="4" xfId="0" applyNumberFormat="1" applyFont="1" applyBorder="1" applyAlignment="1">
      <alignment horizontal="right"/>
    </xf>
    <xf numFmtId="3" fontId="6" fillId="0" borderId="12" xfId="0" applyNumberFormat="1" applyFont="1" applyBorder="1" applyAlignment="1">
      <alignment horizontal="right"/>
    </xf>
    <xf numFmtId="3" fontId="1" fillId="0" borderId="7" xfId="0" applyNumberFormat="1" applyFont="1" applyBorder="1" applyAlignment="1">
      <alignment horizontal="right"/>
    </xf>
    <xf numFmtId="10" fontId="10" fillId="0" borderId="7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10" fontId="10" fillId="0" borderId="4" xfId="0" applyNumberFormat="1" applyFont="1" applyBorder="1" applyAlignment="1">
      <alignment horizontal="right"/>
    </xf>
    <xf numFmtId="185" fontId="6" fillId="0" borderId="3" xfId="0" applyNumberFormat="1" applyFont="1" applyBorder="1" applyAlignment="1">
      <alignment horizontal="right"/>
    </xf>
    <xf numFmtId="185" fontId="1" fillId="0" borderId="11" xfId="0" applyNumberFormat="1" applyFont="1" applyBorder="1" applyAlignment="1">
      <alignment horizontal="right"/>
    </xf>
    <xf numFmtId="185" fontId="2" fillId="0" borderId="4" xfId="0" applyNumberFormat="1" applyFont="1" applyBorder="1" applyAlignment="1">
      <alignment horizontal="right"/>
    </xf>
    <xf numFmtId="185" fontId="2" fillId="0" borderId="12" xfId="0" applyNumberFormat="1" applyFont="1" applyBorder="1" applyAlignment="1">
      <alignment horizontal="right"/>
    </xf>
    <xf numFmtId="10" fontId="4" fillId="0" borderId="14" xfId="0" applyNumberFormat="1" applyFont="1" applyBorder="1" applyAlignment="1">
      <alignment horizontal="right"/>
    </xf>
    <xf numFmtId="10" fontId="2" fillId="0" borderId="14" xfId="0" applyNumberFormat="1" applyFont="1" applyBorder="1" applyAlignment="1">
      <alignment horizontal="right"/>
    </xf>
    <xf numFmtId="10" fontId="2" fillId="0" borderId="15" xfId="0" applyNumberFormat="1" applyFont="1" applyBorder="1" applyAlignment="1">
      <alignment horizontal="right"/>
    </xf>
    <xf numFmtId="10" fontId="2" fillId="0" borderId="16" xfId="0" applyNumberFormat="1" applyFont="1" applyBorder="1" applyAlignment="1">
      <alignment horizontal="right"/>
    </xf>
    <xf numFmtId="10" fontId="2" fillId="0" borderId="17" xfId="0" applyNumberFormat="1" applyFont="1" applyBorder="1" applyAlignment="1">
      <alignment horizontal="right"/>
    </xf>
    <xf numFmtId="10" fontId="2" fillId="8" borderId="14" xfId="0" applyNumberFormat="1" applyFont="1" applyFill="1" applyBorder="1" applyAlignment="1">
      <alignment horizontal="right"/>
    </xf>
    <xf numFmtId="179" fontId="1" fillId="0" borderId="14" xfId="0" applyNumberFormat="1" applyFont="1" applyBorder="1" applyAlignment="1">
      <alignment horizontal="right"/>
    </xf>
    <xf numFmtId="10" fontId="1" fillId="0" borderId="14" xfId="0" applyNumberFormat="1" applyFont="1" applyBorder="1" applyAlignment="1">
      <alignment horizontal="right"/>
    </xf>
    <xf numFmtId="10" fontId="22" fillId="0" borderId="3" xfId="0" applyNumberFormat="1" applyFont="1" applyBorder="1" applyAlignment="1">
      <alignment horizontal="right"/>
    </xf>
    <xf numFmtId="3" fontId="6" fillId="0" borderId="11" xfId="0" applyNumberFormat="1" applyFont="1" applyBorder="1" applyAlignment="1">
      <alignment horizontal="right"/>
    </xf>
    <xf numFmtId="0" fontId="25" fillId="0" borderId="0" xfId="2" applyFont="1"/>
    <xf numFmtId="10" fontId="6" fillId="0" borderId="0" xfId="0" applyNumberFormat="1" applyFont="1" applyAlignment="1">
      <alignment horizontal="center"/>
    </xf>
    <xf numFmtId="0" fontId="24" fillId="0" borderId="0" xfId="0" quotePrefix="1" applyFont="1" applyAlignment="1">
      <alignment horizontal="center"/>
    </xf>
    <xf numFmtId="0" fontId="24" fillId="0" borderId="0" xfId="0" applyFont="1" applyAlignment="1">
      <alignment horizontal="center"/>
    </xf>
    <xf numFmtId="183" fontId="2" fillId="0" borderId="3" xfId="0" applyNumberFormat="1" applyFont="1" applyBorder="1" applyAlignment="1">
      <alignment horizontal="center"/>
    </xf>
    <xf numFmtId="177" fontId="6" fillId="0" borderId="3" xfId="0" applyNumberFormat="1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9" fontId="2" fillId="9" borderId="14" xfId="0" applyNumberFormat="1" applyFont="1" applyFill="1" applyBorder="1" applyAlignment="1">
      <alignment horizontal="right"/>
    </xf>
    <xf numFmtId="177" fontId="2" fillId="9" borderId="14" xfId="0" applyNumberFormat="1" applyFont="1" applyFill="1" applyBorder="1" applyAlignment="1">
      <alignment horizontal="right"/>
    </xf>
    <xf numFmtId="183" fontId="2" fillId="8" borderId="14" xfId="0" applyNumberFormat="1" applyFont="1" applyFill="1" applyBorder="1" applyAlignment="1">
      <alignment horizontal="right"/>
    </xf>
    <xf numFmtId="0" fontId="2" fillId="9" borderId="14" xfId="0" applyFont="1" applyFill="1" applyBorder="1" applyAlignment="1">
      <alignment horizontal="right"/>
    </xf>
    <xf numFmtId="0" fontId="2" fillId="8" borderId="14" xfId="0" applyFont="1" applyFill="1" applyBorder="1" applyAlignment="1">
      <alignment horizontal="right"/>
    </xf>
    <xf numFmtId="3" fontId="2" fillId="8" borderId="14" xfId="0" applyNumberFormat="1" applyFont="1" applyFill="1" applyBorder="1"/>
    <xf numFmtId="0" fontId="26" fillId="0" borderId="3" xfId="0" applyFont="1" applyBorder="1" applyAlignment="1">
      <alignment horizontal="center"/>
    </xf>
    <xf numFmtId="10" fontId="2" fillId="8" borderId="4" xfId="0" applyNumberFormat="1" applyFont="1" applyFill="1" applyBorder="1" applyAlignment="1">
      <alignment horizontal="center"/>
    </xf>
    <xf numFmtId="0" fontId="3" fillId="5" borderId="3" xfId="0" applyFont="1" applyFill="1" applyBorder="1"/>
    <xf numFmtId="186" fontId="2" fillId="8" borderId="0" xfId="0" applyNumberFormat="1" applyFont="1" applyFill="1" applyAlignment="1">
      <alignment horizontal="right"/>
    </xf>
    <xf numFmtId="10" fontId="2" fillId="0" borderId="3" xfId="0" applyNumberFormat="1" applyFont="1" applyBorder="1" applyAlignment="1">
      <alignment horizontal="center"/>
    </xf>
    <xf numFmtId="3" fontId="2" fillId="0" borderId="3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181" fontId="2" fillId="0" borderId="5" xfId="0" applyNumberFormat="1" applyFont="1" applyBorder="1" applyAlignment="1">
      <alignment horizontal="center"/>
    </xf>
    <xf numFmtId="10" fontId="23" fillId="0" borderId="3" xfId="0" applyNumberFormat="1" applyFont="1" applyBorder="1" applyAlignment="1">
      <alignment horizontal="right"/>
    </xf>
    <xf numFmtId="181" fontId="2" fillId="0" borderId="4" xfId="0" applyNumberFormat="1" applyFont="1" applyBorder="1" applyAlignment="1">
      <alignment horizontal="center"/>
    </xf>
    <xf numFmtId="3" fontId="2" fillId="0" borderId="5" xfId="0" applyNumberFormat="1" applyFont="1" applyBorder="1" applyAlignment="1">
      <alignment horizontal="center"/>
    </xf>
    <xf numFmtId="3" fontId="2" fillId="0" borderId="4" xfId="0" applyNumberFormat="1" applyFont="1" applyBorder="1"/>
    <xf numFmtId="3" fontId="2" fillId="0" borderId="5" xfId="0" applyNumberFormat="1" applyFont="1" applyBorder="1"/>
    <xf numFmtId="3" fontId="2" fillId="0" borderId="9" xfId="0" applyNumberFormat="1" applyFont="1" applyBorder="1"/>
    <xf numFmtId="0" fontId="4" fillId="11" borderId="7" xfId="0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right"/>
    </xf>
    <xf numFmtId="10" fontId="10" fillId="11" borderId="4" xfId="0" applyNumberFormat="1" applyFont="1" applyFill="1" applyBorder="1" applyAlignment="1">
      <alignment horizontal="right"/>
    </xf>
    <xf numFmtId="0" fontId="4" fillId="11" borderId="0" xfId="0" applyFont="1" applyFill="1" applyAlignment="1">
      <alignment horizontal="right"/>
    </xf>
    <xf numFmtId="3" fontId="2" fillId="11" borderId="11" xfId="0" applyNumberFormat="1" applyFont="1" applyFill="1" applyBorder="1" applyAlignment="1">
      <alignment horizontal="right"/>
    </xf>
    <xf numFmtId="9" fontId="10" fillId="11" borderId="3" xfId="0" applyNumberFormat="1" applyFont="1" applyFill="1" applyBorder="1" applyAlignment="1">
      <alignment horizontal="center"/>
    </xf>
    <xf numFmtId="9" fontId="10" fillId="11" borderId="7" xfId="0" applyNumberFormat="1" applyFont="1" applyFill="1" applyBorder="1" applyAlignment="1">
      <alignment horizontal="center"/>
    </xf>
    <xf numFmtId="0" fontId="4" fillId="11" borderId="0" xfId="0" applyFont="1" applyFill="1"/>
    <xf numFmtId="0" fontId="4" fillId="11" borderId="7" xfId="0" applyFont="1" applyFill="1" applyBorder="1"/>
    <xf numFmtId="3" fontId="6" fillId="11" borderId="3" xfId="0" applyNumberFormat="1" applyFont="1" applyFill="1" applyBorder="1" applyAlignment="1">
      <alignment horizontal="right"/>
    </xf>
    <xf numFmtId="0" fontId="1" fillId="0" borderId="14" xfId="0" applyFont="1" applyBorder="1" applyAlignment="1">
      <alignment horizontal="left"/>
    </xf>
    <xf numFmtId="181" fontId="2" fillId="9" borderId="14" xfId="0" applyNumberFormat="1" applyFont="1" applyFill="1" applyBorder="1" applyAlignment="1">
      <alignment horizontal="right"/>
    </xf>
    <xf numFmtId="3" fontId="2" fillId="9" borderId="14" xfId="0" applyNumberFormat="1" applyFont="1" applyFill="1" applyBorder="1" applyAlignment="1">
      <alignment horizontal="right"/>
    </xf>
    <xf numFmtId="0" fontId="2" fillId="8" borderId="3" xfId="0" applyFont="1" applyFill="1" applyBorder="1" applyAlignment="1">
      <alignment horizontal="left"/>
    </xf>
    <xf numFmtId="0" fontId="4" fillId="0" borderId="14" xfId="0" quotePrefix="1" applyFont="1" applyBorder="1"/>
    <xf numFmtId="10" fontId="23" fillId="8" borderId="14" xfId="0" applyNumberFormat="1" applyFont="1" applyFill="1" applyBorder="1" applyAlignment="1">
      <alignment horizontal="right"/>
    </xf>
    <xf numFmtId="0" fontId="27" fillId="0" borderId="0" xfId="0" applyFont="1"/>
    <xf numFmtId="0" fontId="6" fillId="0" borderId="18" xfId="0" applyFont="1" applyBorder="1" applyAlignment="1">
      <alignment horizontal="center"/>
    </xf>
    <xf numFmtId="0" fontId="27" fillId="0" borderId="0" xfId="0" applyFont="1" applyAlignment="1">
      <alignment wrapText="1"/>
    </xf>
    <xf numFmtId="0" fontId="24" fillId="0" borderId="3" xfId="0" quotePrefix="1" applyFont="1" applyBorder="1" applyAlignment="1">
      <alignment horizontal="center"/>
    </xf>
    <xf numFmtId="0" fontId="6" fillId="12" borderId="3" xfId="0" applyFont="1" applyFill="1" applyBorder="1" applyAlignment="1">
      <alignment horizontal="center" wrapText="1"/>
    </xf>
    <xf numFmtId="10" fontId="6" fillId="12" borderId="3" xfId="0" applyNumberFormat="1" applyFont="1" applyFill="1" applyBorder="1" applyAlignment="1">
      <alignment horizontal="right"/>
    </xf>
    <xf numFmtId="3" fontId="6" fillId="12" borderId="3" xfId="0" applyNumberFormat="1" applyFont="1" applyFill="1" applyBorder="1" applyAlignment="1">
      <alignment horizontal="right"/>
    </xf>
    <xf numFmtId="0" fontId="22" fillId="12" borderId="4" xfId="0" quotePrefix="1" applyFont="1" applyFill="1" applyBorder="1" applyAlignment="1">
      <alignment horizontal="right"/>
    </xf>
    <xf numFmtId="10" fontId="7" fillId="12" borderId="4" xfId="0" applyNumberFormat="1" applyFont="1" applyFill="1" applyBorder="1" applyAlignment="1">
      <alignment horizontal="right"/>
    </xf>
    <xf numFmtId="10" fontId="7" fillId="0" borderId="7" xfId="0" applyNumberFormat="1" applyFont="1" applyBorder="1" applyAlignment="1">
      <alignment horizontal="right"/>
    </xf>
    <xf numFmtId="0" fontId="22" fillId="0" borderId="7" xfId="0" applyFont="1" applyBorder="1" applyAlignment="1">
      <alignment horizontal="right" wrapText="1"/>
    </xf>
    <xf numFmtId="181" fontId="13" fillId="7" borderId="10" xfId="0" applyNumberFormat="1" applyFont="1" applyFill="1" applyBorder="1" applyAlignment="1">
      <alignment horizontal="center"/>
    </xf>
    <xf numFmtId="3" fontId="2" fillId="8" borderId="3" xfId="0" applyNumberFormat="1" applyFont="1" applyFill="1" applyBorder="1" applyAlignment="1">
      <alignment horizontal="right"/>
    </xf>
    <xf numFmtId="185" fontId="6" fillId="0" borderId="4" xfId="0" applyNumberFormat="1" applyFont="1" applyBorder="1" applyAlignment="1">
      <alignment horizontal="right"/>
    </xf>
    <xf numFmtId="3" fontId="2" fillId="0" borderId="11" xfId="0" applyNumberFormat="1" applyFont="1" applyBorder="1" applyAlignment="1">
      <alignment horizontal="right"/>
    </xf>
    <xf numFmtId="186" fontId="2" fillId="0" borderId="0" xfId="0" applyNumberFormat="1" applyFont="1" applyAlignment="1">
      <alignment horizontal="right"/>
    </xf>
    <xf numFmtId="0" fontId="28" fillId="0" borderId="0" xfId="0" quotePrefix="1" applyFont="1"/>
    <xf numFmtId="0" fontId="28" fillId="0" borderId="0" xfId="0" applyFont="1"/>
    <xf numFmtId="0" fontId="2" fillId="9" borderId="18" xfId="0" applyFont="1" applyFill="1" applyBorder="1" applyAlignment="1">
      <alignment horizontal="right"/>
    </xf>
    <xf numFmtId="0" fontId="2" fillId="9" borderId="18" xfId="0" applyFont="1" applyFill="1" applyBorder="1" applyAlignment="1">
      <alignment horizontal="right" vertical="center" wrapText="1"/>
    </xf>
    <xf numFmtId="0" fontId="2" fillId="0" borderId="18" xfId="0" applyFont="1" applyBorder="1" applyAlignment="1">
      <alignment horizontal="center" vertical="center" wrapText="1"/>
    </xf>
    <xf numFmtId="0" fontId="2" fillId="0" borderId="18" xfId="0" applyFont="1" applyBorder="1" applyAlignment="1">
      <alignment horizontal="center"/>
    </xf>
    <xf numFmtId="0" fontId="1" fillId="0" borderId="19" xfId="0" applyFont="1" applyBorder="1"/>
    <xf numFmtId="3" fontId="2" fillId="8" borderId="19" xfId="0" applyNumberFormat="1" applyFont="1" applyFill="1" applyBorder="1"/>
    <xf numFmtId="10" fontId="2" fillId="8" borderId="19" xfId="0" applyNumberFormat="1" applyFont="1" applyFill="1" applyBorder="1" applyAlignment="1">
      <alignment horizontal="center"/>
    </xf>
    <xf numFmtId="0" fontId="4" fillId="0" borderId="19" xfId="0" applyFont="1" applyBorder="1" applyAlignment="1">
      <alignment horizontal="left"/>
    </xf>
    <xf numFmtId="185" fontId="2" fillId="8" borderId="3" xfId="0" applyNumberFormat="1" applyFont="1" applyFill="1" applyBorder="1" applyAlignment="1">
      <alignment horizontal="right"/>
    </xf>
    <xf numFmtId="3" fontId="2" fillId="8" borderId="20" xfId="0" applyNumberFormat="1" applyFont="1" applyFill="1" applyBorder="1" applyAlignment="1">
      <alignment horizontal="right"/>
    </xf>
    <xf numFmtId="3" fontId="2" fillId="8" borderId="21" xfId="0" applyNumberFormat="1" applyFont="1" applyFill="1" applyBorder="1" applyAlignment="1">
      <alignment horizontal="right"/>
    </xf>
    <xf numFmtId="3" fontId="6" fillId="11" borderId="21" xfId="0" applyNumberFormat="1" applyFont="1" applyFill="1" applyBorder="1" applyAlignment="1">
      <alignment horizontal="right"/>
    </xf>
    <xf numFmtId="185" fontId="2" fillId="8" borderId="17" xfId="0" applyNumberFormat="1" applyFont="1" applyFill="1" applyBorder="1" applyAlignment="1">
      <alignment horizontal="right"/>
    </xf>
    <xf numFmtId="181" fontId="13" fillId="7" borderId="14" xfId="0" applyNumberFormat="1" applyFont="1" applyFill="1" applyBorder="1" applyAlignment="1">
      <alignment horizontal="center"/>
    </xf>
    <xf numFmtId="0" fontId="1" fillId="12" borderId="4" xfId="0" applyFont="1" applyFill="1" applyBorder="1"/>
    <xf numFmtId="3" fontId="1" fillId="12" borderId="4" xfId="0" applyNumberFormat="1" applyFont="1" applyFill="1" applyBorder="1" applyAlignment="1">
      <alignment horizontal="right"/>
    </xf>
    <xf numFmtId="10" fontId="10" fillId="12" borderId="4" xfId="0" applyNumberFormat="1" applyFont="1" applyFill="1" applyBorder="1" applyAlignment="1">
      <alignment horizontal="right"/>
    </xf>
    <xf numFmtId="3" fontId="6" fillId="12" borderId="12" xfId="0" applyNumberFormat="1" applyFont="1" applyFill="1" applyBorder="1" applyAlignment="1">
      <alignment horizontal="right"/>
    </xf>
    <xf numFmtId="0" fontId="4" fillId="12" borderId="0" xfId="0" applyFont="1" applyFill="1"/>
    <xf numFmtId="10" fontId="10" fillId="13" borderId="3" xfId="0" applyNumberFormat="1" applyFont="1" applyFill="1" applyBorder="1" applyAlignment="1">
      <alignment horizontal="right"/>
    </xf>
    <xf numFmtId="10" fontId="10" fillId="13" borderId="11" xfId="0" applyNumberFormat="1" applyFont="1" applyFill="1" applyBorder="1" applyAlignment="1">
      <alignment horizontal="right"/>
    </xf>
    <xf numFmtId="0" fontId="4" fillId="12" borderId="4" xfId="0" applyFont="1" applyFill="1" applyBorder="1"/>
    <xf numFmtId="3" fontId="1" fillId="12" borderId="12" xfId="0" applyNumberFormat="1" applyFont="1" applyFill="1" applyBorder="1" applyAlignment="1">
      <alignment horizontal="right"/>
    </xf>
    <xf numFmtId="10" fontId="2" fillId="0" borderId="14" xfId="0" applyNumberFormat="1" applyFont="1" applyBorder="1" applyAlignment="1">
      <alignment horizontal="center"/>
    </xf>
    <xf numFmtId="9" fontId="10" fillId="11" borderId="22" xfId="0" applyNumberFormat="1" applyFont="1" applyFill="1" applyBorder="1" applyAlignment="1">
      <alignment horizontal="right"/>
    </xf>
    <xf numFmtId="0" fontId="17" fillId="0" borderId="0" xfId="0" applyFont="1"/>
    <xf numFmtId="180" fontId="1" fillId="0" borderId="14" xfId="0" applyNumberFormat="1" applyFont="1" applyBorder="1" applyAlignment="1">
      <alignment horizontal="right"/>
    </xf>
    <xf numFmtId="187" fontId="2" fillId="8" borderId="3" xfId="0" applyNumberFormat="1" applyFont="1" applyFill="1" applyBorder="1" applyAlignment="1">
      <alignment horizontal="center"/>
    </xf>
    <xf numFmtId="187" fontId="2" fillId="0" borderId="0" xfId="0" applyNumberFormat="1" applyFont="1" applyAlignment="1">
      <alignment horizontal="right"/>
    </xf>
    <xf numFmtId="14" fontId="13" fillId="0" borderId="3" xfId="0" applyNumberFormat="1" applyFont="1" applyBorder="1" applyAlignment="1">
      <alignment horizontal="center"/>
    </xf>
    <xf numFmtId="181" fontId="13" fillId="7" borderId="8" xfId="0" applyNumberFormat="1" applyFont="1" applyFill="1" applyBorder="1" applyAlignment="1">
      <alignment horizontal="center"/>
    </xf>
    <xf numFmtId="0" fontId="13" fillId="0" borderId="4" xfId="0" applyFont="1" applyBorder="1" applyAlignment="1">
      <alignment horizontal="left"/>
    </xf>
    <xf numFmtId="2" fontId="4" fillId="0" borderId="5" xfId="1" applyNumberFormat="1" applyFont="1" applyBorder="1" applyAlignment="1">
      <alignment horizontal="left"/>
    </xf>
    <xf numFmtId="178" fontId="4" fillId="0" borderId="4" xfId="0" applyNumberFormat="1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49" fontId="2" fillId="0" borderId="5" xfId="0" applyNumberFormat="1" applyFont="1" applyBorder="1" applyAlignment="1">
      <alignment horizontal="center"/>
    </xf>
    <xf numFmtId="0" fontId="6" fillId="0" borderId="5" xfId="0" applyFont="1" applyBorder="1"/>
    <xf numFmtId="0" fontId="2" fillId="0" borderId="4" xfId="0" applyFont="1" applyBorder="1" applyAlignment="1">
      <alignment horizontal="center"/>
    </xf>
    <xf numFmtId="0" fontId="6" fillId="0" borderId="4" xfId="0" applyFont="1" applyBorder="1"/>
    <xf numFmtId="177" fontId="2" fillId="0" borderId="3" xfId="0" applyNumberFormat="1" applyFont="1" applyBorder="1" applyAlignment="1">
      <alignment horizontal="center"/>
    </xf>
    <xf numFmtId="0" fontId="6" fillId="0" borderId="3" xfId="0" applyFont="1" applyBorder="1"/>
    <xf numFmtId="3" fontId="2" fillId="0" borderId="3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/>
    </xf>
    <xf numFmtId="0" fontId="13" fillId="0" borderId="4" xfId="0" applyFont="1" applyBorder="1" applyAlignment="1">
      <alignment horizontal="center"/>
    </xf>
    <xf numFmtId="181" fontId="13" fillId="7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1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0000FF"/>
      <color rgb="FFFFFFCC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Normalized Cost Structure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454-40E1-9655-EE22B1F916AE}"/>
              </c:ext>
            </c:extLst>
          </c:dPt>
          <c:dPt>
            <c:idx val="1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454-40E1-9655-EE22B1F916AE}"/>
              </c:ext>
            </c:extLst>
          </c:dPt>
          <c:dPt>
            <c:idx val="2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454-40E1-9655-EE22B1F916AE}"/>
              </c:ext>
            </c:extLst>
          </c:dPt>
          <c:dPt>
            <c:idx val="3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454-40E1-9655-EE22B1F916AE}"/>
              </c:ext>
            </c:extLst>
          </c:dPt>
          <c:dPt>
            <c:idx val="4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B454-40E1-9655-EE22B1F916AE}"/>
              </c:ext>
            </c:extLst>
          </c:dPt>
          <c:dPt>
            <c:idx val="5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B454-40E1-9655-EE22B1F916AE}"/>
              </c:ext>
            </c:extLst>
          </c:dPt>
          <c:dPt>
            <c:idx val="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B454-40E1-9655-EE22B1F916AE}"/>
              </c:ext>
            </c:extLst>
          </c:dPt>
          <c:cat>
            <c:strRef>
              <c:f>Dashboard!$B$20:$B$26</c:f>
              <c:strCache>
                <c:ptCount val="7"/>
                <c:pt idx="0">
                  <c:v>COGS</c:v>
                </c:pt>
                <c:pt idx="1">
                  <c:v>OPEX+R&amp;D</c:v>
                </c:pt>
                <c:pt idx="2">
                  <c:v>Non-controlling Interests</c:v>
                </c:pt>
                <c:pt idx="3">
                  <c:v>ΔWC</c:v>
                </c:pt>
                <c:pt idx="4">
                  <c:v>Interest</c:v>
                </c:pt>
                <c:pt idx="5">
                  <c:v>CAPX-D&amp;A</c:v>
                </c:pt>
                <c:pt idx="6">
                  <c:v>Pre-tax Profit </c:v>
                </c:pt>
              </c:strCache>
            </c:strRef>
          </c:cat>
          <c:val>
            <c:numRef>
              <c:f>Dashboard!$C$20:$C$26</c:f>
              <c:numCache>
                <c:formatCode>0.00%</c:formatCode>
                <c:ptCount val="7"/>
                <c:pt idx="0">
                  <c:v>0.55541924442229906</c:v>
                </c:pt>
                <c:pt idx="1">
                  <c:v>0.37949349616392825</c:v>
                </c:pt>
                <c:pt idx="2">
                  <c:v>1.8148224946381651E-3</c:v>
                </c:pt>
                <c:pt idx="3">
                  <c:v>0</c:v>
                </c:pt>
                <c:pt idx="4">
                  <c:v>6.208277497005729E-4</c:v>
                </c:pt>
                <c:pt idx="5">
                  <c:v>1.2789175437999239E-2</c:v>
                </c:pt>
                <c:pt idx="6">
                  <c:v>4.9862433731434744E-2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50-CA42-B693-0276540202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387350</xdr:colOff>
      <xdr:row>30</xdr:row>
      <xdr:rowOff>158750</xdr:rowOff>
    </xdr:from>
    <xdr:to>
      <xdr:col>7</xdr:col>
      <xdr:colOff>1003300</xdr:colOff>
      <xdr:row>43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73B95BE-F378-2977-0A32-CF810A3852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C75" zoomScaleNormal="100" workbookViewId="0">
      <selection activeCell="E91" sqref="E91:F98"/>
    </sheetView>
  </sheetViews>
  <sheetFormatPr defaultColWidth="8.796875" defaultRowHeight="12.75" x14ac:dyDescent="0.35"/>
  <cols>
    <col min="1" max="1" width="3" customWidth="1"/>
    <col min="2" max="2" width="27.33203125" customWidth="1"/>
    <col min="3" max="13" width="24.6640625" customWidth="1"/>
  </cols>
  <sheetData>
    <row r="2" spans="1:5" ht="15" x14ac:dyDescent="0.4">
      <c r="A2" s="5"/>
      <c r="B2" s="6" t="s">
        <v>214</v>
      </c>
    </row>
    <row r="4" spans="1:5" ht="13.9" x14ac:dyDescent="0.4">
      <c r="B4" s="141" t="s">
        <v>194</v>
      </c>
      <c r="C4" s="188" t="s">
        <v>264</v>
      </c>
    </row>
    <row r="5" spans="1:5" ht="13.9" x14ac:dyDescent="0.4">
      <c r="B5" s="141" t="s">
        <v>195</v>
      </c>
      <c r="C5" s="191" t="s">
        <v>265</v>
      </c>
    </row>
    <row r="6" spans="1:5" ht="13.9" x14ac:dyDescent="0.4">
      <c r="B6" s="141" t="s">
        <v>163</v>
      </c>
      <c r="C6" s="189">
        <v>45593</v>
      </c>
    </row>
    <row r="7" spans="1:5" ht="13.9" x14ac:dyDescent="0.4">
      <c r="B7" s="140" t="s">
        <v>3</v>
      </c>
      <c r="C7" s="190">
        <v>8</v>
      </c>
    </row>
    <row r="8" spans="1:5" ht="13.9" x14ac:dyDescent="0.4">
      <c r="B8" s="140" t="s">
        <v>215</v>
      </c>
      <c r="C8" s="191" t="s">
        <v>266</v>
      </c>
      <c r="E8" s="267"/>
    </row>
    <row r="9" spans="1:5" ht="13.9" x14ac:dyDescent="0.4">
      <c r="B9" s="140" t="s">
        <v>216</v>
      </c>
      <c r="C9" s="192" t="s">
        <v>267</v>
      </c>
    </row>
    <row r="10" spans="1:5" ht="13.9" x14ac:dyDescent="0.4">
      <c r="B10" s="140" t="s">
        <v>217</v>
      </c>
      <c r="C10" s="193">
        <v>1333333500</v>
      </c>
    </row>
    <row r="11" spans="1:5" ht="13.9" x14ac:dyDescent="0.4">
      <c r="B11" s="140" t="s">
        <v>218</v>
      </c>
      <c r="C11" s="192" t="s">
        <v>268</v>
      </c>
    </row>
    <row r="12" spans="1:5" ht="13.9" x14ac:dyDescent="0.4">
      <c r="B12" s="218" t="s">
        <v>9</v>
      </c>
      <c r="C12" s="219">
        <v>45291</v>
      </c>
    </row>
    <row r="13" spans="1:5" ht="13.9" x14ac:dyDescent="0.4">
      <c r="B13" s="218" t="s">
        <v>10</v>
      </c>
      <c r="C13" s="220">
        <v>1000</v>
      </c>
    </row>
    <row r="14" spans="1:5" ht="13.9" x14ac:dyDescent="0.4">
      <c r="B14" s="218" t="s">
        <v>219</v>
      </c>
      <c r="C14" s="219">
        <v>45473</v>
      </c>
    </row>
    <row r="15" spans="1:5" ht="13.9" x14ac:dyDescent="0.4">
      <c r="B15" s="218" t="s">
        <v>255</v>
      </c>
      <c r="C15" s="176" t="s">
        <v>260</v>
      </c>
    </row>
    <row r="16" spans="1:5" ht="13.9" x14ac:dyDescent="0.4">
      <c r="B16" s="222" t="s">
        <v>96</v>
      </c>
      <c r="C16" s="223">
        <v>0.25</v>
      </c>
      <c r="D16" s="24"/>
    </row>
    <row r="17" spans="2:13" ht="13.9" x14ac:dyDescent="0.4">
      <c r="B17" s="240" t="s">
        <v>224</v>
      </c>
      <c r="C17" s="242" t="s">
        <v>245</v>
      </c>
      <c r="D17" s="24"/>
    </row>
    <row r="18" spans="2:13" ht="13.9" x14ac:dyDescent="0.4">
      <c r="B18" s="240" t="s">
        <v>238</v>
      </c>
      <c r="C18" s="242" t="s">
        <v>245</v>
      </c>
      <c r="D18" s="24"/>
    </row>
    <row r="19" spans="2:13" ht="13.9" x14ac:dyDescent="0.4">
      <c r="B19" s="240" t="s">
        <v>239</v>
      </c>
      <c r="C19" s="242" t="s">
        <v>245</v>
      </c>
      <c r="D19" s="24"/>
    </row>
    <row r="20" spans="2:13" ht="13.9" x14ac:dyDescent="0.4">
      <c r="B20" s="241" t="s">
        <v>228</v>
      </c>
      <c r="C20" s="242" t="s">
        <v>245</v>
      </c>
      <c r="D20" s="24"/>
    </row>
    <row r="21" spans="2:13" ht="13.9" x14ac:dyDescent="0.4">
      <c r="B21" s="224" t="s">
        <v>231</v>
      </c>
      <c r="C21" s="242" t="s">
        <v>245</v>
      </c>
      <c r="D21" s="24"/>
    </row>
    <row r="22" spans="2:13" ht="78.75" x14ac:dyDescent="0.4">
      <c r="B22" s="226" t="s">
        <v>230</v>
      </c>
      <c r="C22" s="243" t="s">
        <v>258</v>
      </c>
      <c r="D22" s="24"/>
    </row>
    <row r="24" spans="2:13" ht="13.9" x14ac:dyDescent="0.4">
      <c r="B24" s="115" t="s">
        <v>133</v>
      </c>
      <c r="C24" s="48">
        <f>C12</f>
        <v>45291</v>
      </c>
      <c r="D24" s="49">
        <f>EOMONTH(EDATE(C24,-12),0)</f>
        <v>44926</v>
      </c>
      <c r="E24" s="49">
        <f t="shared" ref="E24:M24" si="0">EOMONTH(EDATE(D24,-12),0)</f>
        <v>44561</v>
      </c>
      <c r="F24" s="49">
        <f t="shared" si="0"/>
        <v>44196</v>
      </c>
      <c r="G24" s="49">
        <f t="shared" si="0"/>
        <v>43830</v>
      </c>
      <c r="H24" s="49">
        <f t="shared" si="0"/>
        <v>43465</v>
      </c>
      <c r="I24" s="49">
        <f t="shared" si="0"/>
        <v>43100</v>
      </c>
      <c r="J24" s="49">
        <f t="shared" si="0"/>
        <v>42735</v>
      </c>
      <c r="K24" s="49">
        <f t="shared" si="0"/>
        <v>42369</v>
      </c>
      <c r="L24" s="49">
        <f t="shared" si="0"/>
        <v>42004</v>
      </c>
      <c r="M24" s="49">
        <f t="shared" si="0"/>
        <v>41639</v>
      </c>
    </row>
    <row r="25" spans="2:13" ht="13.9" x14ac:dyDescent="0.4">
      <c r="B25" s="94" t="s">
        <v>11</v>
      </c>
      <c r="C25" s="149">
        <v>1615585</v>
      </c>
      <c r="D25" s="149">
        <v>1446638</v>
      </c>
      <c r="E25" s="149">
        <v>1769157</v>
      </c>
      <c r="F25" s="149">
        <v>1702154</v>
      </c>
      <c r="G25" s="149">
        <v>1383402</v>
      </c>
      <c r="H25" s="149"/>
      <c r="I25" s="149"/>
      <c r="J25" s="149"/>
      <c r="K25" s="149"/>
      <c r="L25" s="149"/>
      <c r="M25" s="149"/>
    </row>
    <row r="26" spans="2:13" ht="13.9" x14ac:dyDescent="0.4">
      <c r="B26" s="97" t="s">
        <v>105</v>
      </c>
      <c r="C26" s="150">
        <v>897327</v>
      </c>
      <c r="D26" s="150">
        <v>845264</v>
      </c>
      <c r="E26" s="150">
        <v>981731</v>
      </c>
      <c r="F26" s="150">
        <v>959572</v>
      </c>
      <c r="G26" s="150">
        <v>783542</v>
      </c>
      <c r="H26" s="150"/>
      <c r="I26" s="150"/>
      <c r="J26" s="150"/>
      <c r="K26" s="150"/>
      <c r="L26" s="150"/>
      <c r="M26" s="150"/>
    </row>
    <row r="27" spans="2:13" ht="13.9" x14ac:dyDescent="0.4">
      <c r="B27" s="97" t="s">
        <v>103</v>
      </c>
      <c r="C27" s="150">
        <v>613104</v>
      </c>
      <c r="D27" s="150">
        <v>599182</v>
      </c>
      <c r="E27" s="150">
        <v>705390</v>
      </c>
      <c r="F27" s="150">
        <v>456610</v>
      </c>
      <c r="G27" s="150">
        <v>396643</v>
      </c>
      <c r="H27" s="150"/>
      <c r="I27" s="150"/>
      <c r="J27" s="150"/>
      <c r="K27" s="150"/>
      <c r="L27" s="150"/>
      <c r="M27" s="150"/>
    </row>
    <row r="28" spans="2:13" ht="13.9" x14ac:dyDescent="0.4">
      <c r="B28" s="97" t="s">
        <v>106</v>
      </c>
      <c r="C28" s="150"/>
      <c r="D28" s="150"/>
      <c r="E28" s="150"/>
      <c r="F28" s="150"/>
      <c r="G28" s="150"/>
      <c r="H28" s="150"/>
      <c r="I28" s="150"/>
      <c r="J28" s="150"/>
      <c r="K28" s="150"/>
      <c r="L28" s="150"/>
      <c r="M28" s="150"/>
    </row>
    <row r="29" spans="2:13" ht="13.9" x14ac:dyDescent="0.4">
      <c r="B29" s="97" t="s">
        <v>256</v>
      </c>
      <c r="C29" s="150">
        <v>1003</v>
      </c>
      <c r="D29" s="150">
        <v>863</v>
      </c>
      <c r="E29" s="150">
        <v>1613</v>
      </c>
      <c r="F29" s="150">
        <v>2645</v>
      </c>
      <c r="G29" s="150">
        <v>299</v>
      </c>
      <c r="H29" s="150"/>
      <c r="I29" s="150"/>
      <c r="J29" s="150"/>
      <c r="K29" s="150"/>
      <c r="L29" s="150"/>
      <c r="M29" s="150"/>
    </row>
    <row r="30" spans="2:13" ht="13.9" x14ac:dyDescent="0.4">
      <c r="B30" s="99" t="s">
        <v>110</v>
      </c>
      <c r="C30" s="150">
        <v>2199</v>
      </c>
      <c r="D30" s="150">
        <v>645</v>
      </c>
      <c r="E30" s="150"/>
      <c r="F30" s="150"/>
      <c r="G30" s="150"/>
      <c r="H30" s="150"/>
      <c r="I30" s="150"/>
      <c r="J30" s="150"/>
      <c r="K30" s="150"/>
      <c r="L30" s="150"/>
      <c r="M30" s="150"/>
    </row>
    <row r="31" spans="2:13" ht="13.9" x14ac:dyDescent="0.4">
      <c r="B31" s="97" t="s">
        <v>109</v>
      </c>
      <c r="C31" s="150">
        <v>-169280</v>
      </c>
      <c r="D31" s="150">
        <v>-50846</v>
      </c>
      <c r="E31" s="150"/>
      <c r="F31" s="150"/>
      <c r="G31" s="150"/>
      <c r="H31" s="150"/>
      <c r="I31" s="150"/>
      <c r="J31" s="150"/>
      <c r="K31" s="150"/>
      <c r="L31" s="150"/>
      <c r="M31" s="150"/>
    </row>
    <row r="32" spans="2:13" ht="13.9" x14ac:dyDescent="0.4">
      <c r="B32" s="97" t="s">
        <v>104</v>
      </c>
      <c r="C32" s="150">
        <v>35974</v>
      </c>
      <c r="D32" s="150">
        <v>32106</v>
      </c>
      <c r="E32" s="150"/>
      <c r="F32" s="150"/>
      <c r="G32" s="150"/>
      <c r="H32" s="150"/>
      <c r="I32" s="150"/>
      <c r="J32" s="150"/>
      <c r="K32" s="150"/>
      <c r="L32" s="150"/>
      <c r="M32" s="150"/>
    </row>
    <row r="33" spans="2:13" ht="13.9" x14ac:dyDescent="0.4">
      <c r="B33" s="97" t="s">
        <v>107</v>
      </c>
      <c r="C33" s="150">
        <v>15312</v>
      </c>
      <c r="D33" s="150">
        <v>11600</v>
      </c>
      <c r="E33" s="150"/>
      <c r="F33" s="150"/>
      <c r="G33" s="150"/>
      <c r="H33" s="150"/>
      <c r="I33" s="150"/>
      <c r="J33" s="150"/>
      <c r="K33" s="150"/>
      <c r="L33" s="150"/>
      <c r="M33" s="150"/>
    </row>
    <row r="34" spans="2:13" ht="13.9" x14ac:dyDescent="0.4">
      <c r="B34" s="94" t="s">
        <v>14</v>
      </c>
      <c r="C34" s="217"/>
      <c r="D34" s="150"/>
      <c r="E34" s="150"/>
      <c r="F34" s="150"/>
      <c r="G34" s="150"/>
      <c r="H34" s="150"/>
      <c r="I34" s="150"/>
      <c r="J34" s="150"/>
      <c r="K34" s="150"/>
      <c r="L34" s="150"/>
      <c r="M34" s="150"/>
    </row>
    <row r="35" spans="2:13" ht="13.9" x14ac:dyDescent="0.4">
      <c r="B35" s="94" t="s">
        <v>116</v>
      </c>
      <c r="C35" s="217"/>
      <c r="D35" s="150"/>
      <c r="E35" s="150"/>
      <c r="F35" s="150"/>
      <c r="G35" s="150"/>
      <c r="H35" s="150"/>
      <c r="I35" s="150"/>
      <c r="J35" s="150"/>
      <c r="K35" s="150"/>
      <c r="L35" s="150"/>
      <c r="M35" s="150"/>
    </row>
    <row r="36" spans="2:13" ht="13.9" x14ac:dyDescent="0.4">
      <c r="B36" s="94" t="s">
        <v>148</v>
      </c>
      <c r="C36" s="217"/>
      <c r="D36" s="150"/>
      <c r="E36" s="150"/>
      <c r="F36" s="150"/>
      <c r="G36" s="150"/>
      <c r="H36" s="150"/>
      <c r="I36" s="150"/>
      <c r="J36" s="150"/>
      <c r="K36" s="150"/>
      <c r="L36" s="150"/>
      <c r="M36" s="150"/>
    </row>
    <row r="37" spans="2:13" ht="13.9" x14ac:dyDescent="0.4">
      <c r="B37" s="94" t="s">
        <v>15</v>
      </c>
      <c r="C37" s="217"/>
      <c r="D37" s="150">
        <v>734909</v>
      </c>
      <c r="E37" s="150">
        <v>677999</v>
      </c>
      <c r="F37" s="150">
        <v>1352795</v>
      </c>
      <c r="G37" s="150">
        <v>1205068</v>
      </c>
      <c r="H37" s="150"/>
      <c r="I37" s="150"/>
      <c r="J37" s="150"/>
      <c r="K37" s="150"/>
      <c r="L37" s="150"/>
      <c r="M37" s="150"/>
    </row>
    <row r="38" spans="2:13" ht="13.9" x14ac:dyDescent="0.4">
      <c r="B38" s="94" t="s">
        <v>115</v>
      </c>
      <c r="C38" s="217"/>
      <c r="D38" s="150">
        <v>18682</v>
      </c>
      <c r="E38" s="150">
        <v>61277</v>
      </c>
      <c r="F38" s="150">
        <v>51229</v>
      </c>
      <c r="G38" s="150">
        <v>23195</v>
      </c>
      <c r="H38" s="150"/>
      <c r="I38" s="150"/>
      <c r="J38" s="150"/>
      <c r="K38" s="150"/>
      <c r="L38" s="150"/>
      <c r="M38" s="150"/>
    </row>
    <row r="39" spans="2:13" ht="13.9" x14ac:dyDescent="0.4">
      <c r="B39" s="94" t="s">
        <v>16</v>
      </c>
      <c r="C39" s="217"/>
      <c r="D39" s="150">
        <v>6202</v>
      </c>
      <c r="E39" s="150">
        <v>5517</v>
      </c>
      <c r="F39" s="150">
        <v>301783</v>
      </c>
      <c r="G39" s="150">
        <v>3225</v>
      </c>
      <c r="H39" s="150"/>
      <c r="I39" s="150"/>
      <c r="J39" s="150"/>
      <c r="K39" s="150"/>
      <c r="L39" s="150"/>
      <c r="M39" s="150"/>
    </row>
    <row r="40" spans="2:13" ht="13.9" x14ac:dyDescent="0.4">
      <c r="B40" s="94" t="s">
        <v>17</v>
      </c>
      <c r="C40" s="217"/>
      <c r="D40" s="150">
        <v>10412</v>
      </c>
      <c r="E40" s="150">
        <v>9392</v>
      </c>
      <c r="F40" s="150">
        <v>5096</v>
      </c>
      <c r="G40" s="150">
        <v>6880</v>
      </c>
      <c r="H40" s="150"/>
      <c r="I40" s="150"/>
      <c r="J40" s="150"/>
      <c r="K40" s="150"/>
      <c r="L40" s="150"/>
      <c r="M40" s="150"/>
    </row>
    <row r="41" spans="2:13" ht="13.9" x14ac:dyDescent="0.4">
      <c r="B41" s="94" t="s">
        <v>137</v>
      </c>
      <c r="C41" s="217"/>
      <c r="D41" s="150">
        <v>2824568</v>
      </c>
      <c r="E41" s="150">
        <v>2735259</v>
      </c>
      <c r="F41" s="150">
        <v>250534</v>
      </c>
      <c r="G41" s="150">
        <v>13930</v>
      </c>
      <c r="H41" s="150"/>
      <c r="I41" s="150"/>
      <c r="J41" s="150"/>
      <c r="K41" s="150"/>
      <c r="L41" s="150"/>
      <c r="M41" s="150"/>
    </row>
    <row r="42" spans="2:13" ht="13.9" x14ac:dyDescent="0.4">
      <c r="B42" s="94" t="s">
        <v>138</v>
      </c>
      <c r="C42" s="217"/>
      <c r="D42" s="150">
        <v>7297</v>
      </c>
      <c r="E42" s="150">
        <v>1498</v>
      </c>
      <c r="F42" s="150">
        <v>2853</v>
      </c>
      <c r="G42" s="150">
        <v>696</v>
      </c>
      <c r="H42" s="150"/>
      <c r="I42" s="150"/>
      <c r="J42" s="150"/>
      <c r="K42" s="150"/>
      <c r="L42" s="150"/>
      <c r="M42" s="150"/>
    </row>
    <row r="43" spans="2:13" ht="13.9" x14ac:dyDescent="0.4">
      <c r="B43" s="94" t="s">
        <v>136</v>
      </c>
      <c r="C43" s="217"/>
      <c r="D43" s="150">
        <v>2868641</v>
      </c>
      <c r="E43" s="150"/>
      <c r="F43" s="150"/>
      <c r="G43" s="150"/>
      <c r="H43" s="150"/>
      <c r="I43" s="150"/>
      <c r="J43" s="150"/>
      <c r="K43" s="150"/>
      <c r="L43" s="150"/>
      <c r="M43" s="150"/>
    </row>
    <row r="44" spans="2:13" ht="13.9" x14ac:dyDescent="0.4">
      <c r="B44" s="74" t="s">
        <v>207</v>
      </c>
      <c r="C44" s="250">
        <v>0.1178</v>
      </c>
      <c r="D44" s="250"/>
      <c r="E44" s="250"/>
      <c r="F44" s="250"/>
      <c r="G44" s="250"/>
      <c r="H44" s="250"/>
      <c r="I44" s="250"/>
      <c r="J44" s="250"/>
      <c r="K44" s="250"/>
      <c r="L44" s="250"/>
      <c r="M44" s="250"/>
    </row>
    <row r="45" spans="2:13" ht="13.9" x14ac:dyDescent="0.4">
      <c r="B45" s="74" t="s">
        <v>252</v>
      </c>
      <c r="C45" s="152">
        <f>IF(C44="","",C44*Exchange_Rate/Dashboard!$G$3)</f>
        <v>6.5658818367454741E-2</v>
      </c>
      <c r="D45" s="152" t="str">
        <f>IF(D44="","",D44*Exchange_Rate/Dashboard!$G$3)</f>
        <v/>
      </c>
      <c r="E45" s="152" t="str">
        <f>IF(E44="","",E44*Exchange_Rate/Dashboard!$G$3)</f>
        <v/>
      </c>
      <c r="F45" s="152" t="str">
        <f>IF(F44="","",F44*Exchange_Rate/Dashboard!$G$3)</f>
        <v/>
      </c>
      <c r="G45" s="152" t="str">
        <f>IF(G44="","",G44*Exchange_Rate/Dashboard!$G$3)</f>
        <v/>
      </c>
      <c r="H45" s="152" t="str">
        <f>IF(H44="","",H44*Exchange_Rate/Dashboard!$G$3)</f>
        <v/>
      </c>
      <c r="I45" s="152" t="str">
        <f>IF(I44="","",I44*Exchange_Rate/Dashboard!$G$3)</f>
        <v/>
      </c>
      <c r="J45" s="152" t="str">
        <f>IF(J44="","",J44*Exchange_Rate/Dashboard!$G$3)</f>
        <v/>
      </c>
      <c r="K45" s="152" t="str">
        <f>IF(K44="","",K44*Exchange_Rate/Dashboard!$G$3)</f>
        <v/>
      </c>
      <c r="L45" s="152" t="str">
        <f>IF(L44="","",L44*Exchange_Rate/Dashboard!$G$3)</f>
        <v/>
      </c>
      <c r="M45" s="152" t="str">
        <f>IF(M44="","",M44*Exchange_Rate/Dashboard!$G$3)</f>
        <v/>
      </c>
    </row>
    <row r="47" spans="2:13" ht="13.9" x14ac:dyDescent="0.4">
      <c r="B47" s="10" t="s">
        <v>249</v>
      </c>
      <c r="C47" s="194" t="s">
        <v>33</v>
      </c>
      <c r="D47" s="194" t="s">
        <v>196</v>
      </c>
      <c r="E47" s="111" t="s">
        <v>35</v>
      </c>
    </row>
    <row r="48" spans="2:13" ht="13.9" x14ac:dyDescent="0.4">
      <c r="B48" s="3" t="s">
        <v>37</v>
      </c>
      <c r="C48" s="59">
        <v>2385307</v>
      </c>
      <c r="D48" s="60">
        <v>0.9</v>
      </c>
      <c r="E48" s="112"/>
    </row>
    <row r="49" spans="2:5" ht="13.9" x14ac:dyDescent="0.4">
      <c r="B49" s="1" t="s">
        <v>135</v>
      </c>
      <c r="C49" s="59">
        <v>0</v>
      </c>
      <c r="D49" s="60">
        <v>0.8</v>
      </c>
      <c r="E49" s="112"/>
    </row>
    <row r="50" spans="2:5" ht="13.9" x14ac:dyDescent="0.4">
      <c r="B50" s="3" t="s">
        <v>116</v>
      </c>
      <c r="C50" s="59">
        <v>180994</v>
      </c>
      <c r="D50" s="60">
        <f>D51</f>
        <v>0.6</v>
      </c>
      <c r="E50" s="112"/>
    </row>
    <row r="51" spans="2:5" ht="13.9" x14ac:dyDescent="0.4">
      <c r="B51" s="3" t="s">
        <v>41</v>
      </c>
      <c r="C51" s="59">
        <v>0</v>
      </c>
      <c r="D51" s="60">
        <v>0.6</v>
      </c>
      <c r="E51" s="112"/>
    </row>
    <row r="52" spans="2:5" ht="13.9" x14ac:dyDescent="0.4">
      <c r="B52" s="3" t="s">
        <v>43</v>
      </c>
      <c r="C52" s="59">
        <v>253051</v>
      </c>
      <c r="D52" s="60">
        <v>0.5</v>
      </c>
      <c r="E52" s="112"/>
    </row>
    <row r="53" spans="2:5" ht="13.9" x14ac:dyDescent="0.4">
      <c r="B53" s="1" t="s">
        <v>158</v>
      </c>
      <c r="C53" s="59">
        <v>0</v>
      </c>
      <c r="D53" s="60">
        <f>D50</f>
        <v>0.6</v>
      </c>
      <c r="E53" s="112"/>
    </row>
    <row r="54" spans="2:5" ht="13.9" x14ac:dyDescent="0.4">
      <c r="B54" s="3" t="s">
        <v>262</v>
      </c>
      <c r="C54" s="59">
        <v>0</v>
      </c>
      <c r="D54" s="60">
        <v>0.1</v>
      </c>
      <c r="E54" s="112"/>
    </row>
    <row r="55" spans="2:5" ht="13.9" x14ac:dyDescent="0.4">
      <c r="B55" s="3" t="s">
        <v>46</v>
      </c>
      <c r="C55" s="59">
        <v>158110</v>
      </c>
      <c r="D55" s="60">
        <f>D52</f>
        <v>0.5</v>
      </c>
      <c r="E55" s="112"/>
    </row>
    <row r="56" spans="2:5" ht="13.9" x14ac:dyDescent="0.4">
      <c r="B56" s="1" t="s">
        <v>47</v>
      </c>
      <c r="C56" s="59">
        <v>0</v>
      </c>
      <c r="D56" s="60">
        <f>D50</f>
        <v>0.6</v>
      </c>
      <c r="E56" s="221" t="s">
        <v>70</v>
      </c>
    </row>
    <row r="57" spans="2:5" ht="13.9" x14ac:dyDescent="0.4">
      <c r="B57" s="3" t="s">
        <v>119</v>
      </c>
      <c r="C57" s="59">
        <v>0</v>
      </c>
      <c r="D57" s="60">
        <v>0.6</v>
      </c>
      <c r="E57" s="221" t="s">
        <v>45</v>
      </c>
    </row>
    <row r="58" spans="2:5" ht="13.9" x14ac:dyDescent="0.4">
      <c r="B58" s="3" t="s">
        <v>49</v>
      </c>
      <c r="C58" s="59">
        <v>5912</v>
      </c>
      <c r="D58" s="60">
        <f>D48</f>
        <v>0.9</v>
      </c>
      <c r="E58" s="112"/>
    </row>
    <row r="59" spans="2:5" ht="13.9" x14ac:dyDescent="0.4">
      <c r="B59" s="35" t="s">
        <v>50</v>
      </c>
      <c r="C59" s="120">
        <v>0</v>
      </c>
      <c r="D59" s="195">
        <f>D70</f>
        <v>0.05</v>
      </c>
      <c r="E59" s="112"/>
    </row>
    <row r="60" spans="2:5" ht="13.9" x14ac:dyDescent="0.4">
      <c r="B60" s="3" t="s">
        <v>60</v>
      </c>
      <c r="C60" s="59">
        <v>279425</v>
      </c>
      <c r="D60" s="60">
        <f>D49</f>
        <v>0.8</v>
      </c>
      <c r="E60" s="112"/>
    </row>
    <row r="61" spans="2:5" ht="13.9" x14ac:dyDescent="0.4">
      <c r="B61" s="3" t="s">
        <v>62</v>
      </c>
      <c r="C61" s="59">
        <v>126127</v>
      </c>
      <c r="D61" s="60">
        <f>D51</f>
        <v>0.6</v>
      </c>
      <c r="E61" s="112"/>
    </row>
    <row r="62" spans="2:5" ht="13.9" x14ac:dyDescent="0.4">
      <c r="B62" s="3" t="s">
        <v>64</v>
      </c>
      <c r="C62" s="59">
        <v>0</v>
      </c>
      <c r="D62" s="60">
        <f>D52</f>
        <v>0.5</v>
      </c>
      <c r="E62" s="112"/>
    </row>
    <row r="63" spans="2:5" ht="13.9" x14ac:dyDescent="0.4">
      <c r="B63" s="1" t="s">
        <v>159</v>
      </c>
      <c r="C63" s="59">
        <v>0</v>
      </c>
      <c r="D63" s="60">
        <f>D62</f>
        <v>0.5</v>
      </c>
      <c r="E63" s="112"/>
    </row>
    <row r="64" spans="2:5" ht="13.9" x14ac:dyDescent="0.4">
      <c r="B64" s="3" t="s">
        <v>261</v>
      </c>
      <c r="C64" s="59">
        <v>0</v>
      </c>
      <c r="D64" s="60">
        <v>0.4</v>
      </c>
      <c r="E64" s="112"/>
    </row>
    <row r="65" spans="2:5" ht="13.9" x14ac:dyDescent="0.4">
      <c r="B65" s="3" t="s">
        <v>69</v>
      </c>
      <c r="C65" s="59">
        <v>1500</v>
      </c>
      <c r="D65" s="60">
        <v>0.1</v>
      </c>
      <c r="E65" s="221" t="s">
        <v>70</v>
      </c>
    </row>
    <row r="66" spans="2:5" ht="13.9" x14ac:dyDescent="0.4">
      <c r="B66" s="3" t="s">
        <v>71</v>
      </c>
      <c r="C66" s="59">
        <v>0</v>
      </c>
      <c r="D66" s="60">
        <v>0.2</v>
      </c>
      <c r="E66" s="221" t="s">
        <v>70</v>
      </c>
    </row>
    <row r="67" spans="2:5" ht="13.9" x14ac:dyDescent="0.4">
      <c r="B67" s="1" t="s">
        <v>48</v>
      </c>
      <c r="C67" s="59">
        <v>0</v>
      </c>
      <c r="D67" s="60">
        <f>D65</f>
        <v>0.1</v>
      </c>
      <c r="E67" s="221" t="s">
        <v>45</v>
      </c>
    </row>
    <row r="68" spans="2:5" ht="13.9" x14ac:dyDescent="0.4">
      <c r="B68" s="3" t="s">
        <v>118</v>
      </c>
      <c r="C68" s="59">
        <v>193915</v>
      </c>
      <c r="D68" s="60">
        <f>D65</f>
        <v>0.1</v>
      </c>
      <c r="E68" s="112"/>
    </row>
    <row r="69" spans="2:5" ht="13.9" x14ac:dyDescent="0.4">
      <c r="B69" s="3" t="s">
        <v>72</v>
      </c>
      <c r="C69" s="59">
        <v>0</v>
      </c>
      <c r="D69" s="60">
        <f>D70</f>
        <v>0.05</v>
      </c>
      <c r="E69" s="112"/>
    </row>
    <row r="70" spans="2:5" ht="13.9" x14ac:dyDescent="0.4">
      <c r="B70" s="3" t="s">
        <v>73</v>
      </c>
      <c r="C70" s="59">
        <v>9704</v>
      </c>
      <c r="D70" s="60">
        <v>0.05</v>
      </c>
      <c r="E70" s="112"/>
    </row>
    <row r="71" spans="2:5" ht="13.9" x14ac:dyDescent="0.4">
      <c r="B71" s="3" t="s">
        <v>74</v>
      </c>
      <c r="C71" s="59">
        <v>76124</v>
      </c>
      <c r="D71" s="60">
        <f>D58</f>
        <v>0.9</v>
      </c>
      <c r="E71" s="112"/>
    </row>
    <row r="72" spans="2:5" ht="14.25" thickBot="1" x14ac:dyDescent="0.45">
      <c r="B72" s="246" t="s">
        <v>75</v>
      </c>
      <c r="C72" s="247"/>
      <c r="D72" s="248">
        <v>0</v>
      </c>
      <c r="E72" s="249"/>
    </row>
    <row r="73" spans="2:5" ht="13.9" x14ac:dyDescent="0.4">
      <c r="B73" s="3" t="s">
        <v>38</v>
      </c>
      <c r="C73" s="59"/>
    </row>
    <row r="74" spans="2:5" ht="13.9" x14ac:dyDescent="0.4">
      <c r="B74" s="3" t="s">
        <v>39</v>
      </c>
      <c r="C74" s="59">
        <v>13416</v>
      </c>
    </row>
    <row r="75" spans="2:5" ht="13.9" x14ac:dyDescent="0.4">
      <c r="B75" s="3" t="s">
        <v>40</v>
      </c>
      <c r="C75" s="59"/>
    </row>
    <row r="76" spans="2:5" ht="13.9" x14ac:dyDescent="0.4">
      <c r="B76" s="86" t="s">
        <v>42</v>
      </c>
      <c r="C76" s="120"/>
    </row>
    <row r="77" spans="2:5" ht="14.25" thickBot="1" x14ac:dyDescent="0.45">
      <c r="B77" s="80" t="s">
        <v>15</v>
      </c>
      <c r="C77" s="83">
        <v>611931</v>
      </c>
    </row>
    <row r="78" spans="2:5" ht="14.25" thickTop="1" x14ac:dyDescent="0.4">
      <c r="B78" s="3" t="s">
        <v>61</v>
      </c>
      <c r="C78" s="59"/>
    </row>
    <row r="79" spans="2:5" ht="13.9" x14ac:dyDescent="0.4">
      <c r="B79" s="3" t="s">
        <v>63</v>
      </c>
      <c r="C79" s="59">
        <v>20583</v>
      </c>
    </row>
    <row r="80" spans="2:5" ht="13.9" x14ac:dyDescent="0.4">
      <c r="B80" s="3" t="s">
        <v>65</v>
      </c>
      <c r="C80" s="59"/>
    </row>
    <row r="81" spans="2:8" ht="13.9" x14ac:dyDescent="0.4">
      <c r="B81" s="86" t="s">
        <v>66</v>
      </c>
      <c r="C81" s="120"/>
    </row>
    <row r="82" spans="2:8" ht="14.25" thickBot="1" x14ac:dyDescent="0.45">
      <c r="B82" s="80" t="s">
        <v>84</v>
      </c>
      <c r="C82" s="83">
        <v>30946</v>
      </c>
    </row>
    <row r="83" spans="2:8" ht="14.25" thickTop="1" x14ac:dyDescent="0.4">
      <c r="B83" s="73" t="s">
        <v>220</v>
      </c>
      <c r="C83" s="59">
        <v>3023302</v>
      </c>
    </row>
    <row r="84" spans="2:8" ht="13.9" x14ac:dyDescent="0.4">
      <c r="B84" s="20" t="s">
        <v>90</v>
      </c>
      <c r="C84" s="59"/>
    </row>
    <row r="85" spans="2:8" ht="13.9" x14ac:dyDescent="0.4">
      <c r="B85" s="20" t="s">
        <v>92</v>
      </c>
      <c r="C85" s="59"/>
    </row>
    <row r="86" spans="2:8" ht="13.9" x14ac:dyDescent="0.4">
      <c r="B86" s="10" t="s">
        <v>250</v>
      </c>
      <c r="C86" s="197">
        <v>5</v>
      </c>
    </row>
    <row r="87" spans="2:8" ht="13.9" x14ac:dyDescent="0.4">
      <c r="B87" s="10" t="s">
        <v>248</v>
      </c>
      <c r="C87" s="236" t="s">
        <v>269</v>
      </c>
      <c r="D87" s="269">
        <v>0.02</v>
      </c>
    </row>
    <row r="89" spans="2:8" ht="13.5" x14ac:dyDescent="0.35">
      <c r="B89" s="106" t="s">
        <v>127</v>
      </c>
      <c r="C89" s="271">
        <f>C24</f>
        <v>45291</v>
      </c>
      <c r="D89" s="271"/>
      <c r="E89" s="89" t="s">
        <v>206</v>
      </c>
      <c r="F89" s="89" t="s">
        <v>205</v>
      </c>
      <c r="H89" s="31"/>
    </row>
    <row r="90" spans="2:8" ht="13.9" x14ac:dyDescent="0.4">
      <c r="B90" s="12" t="str">
        <f>"(Numbers in "&amp;Data!C4&amp;Dashboard!G6&amp;")"</f>
        <v>(Numbers in 1000CNY)</v>
      </c>
      <c r="C90" s="272" t="s">
        <v>100</v>
      </c>
      <c r="D90" s="272"/>
      <c r="E90" s="235" t="s">
        <v>101</v>
      </c>
      <c r="F90" s="255" t="s">
        <v>101</v>
      </c>
    </row>
    <row r="91" spans="2:8" ht="13.9" x14ac:dyDescent="0.4">
      <c r="B91" s="3" t="s">
        <v>126</v>
      </c>
      <c r="C91" s="77">
        <f>C25</f>
        <v>1615585</v>
      </c>
      <c r="D91" s="209"/>
      <c r="E91" s="251">
        <f>C91</f>
        <v>1615585</v>
      </c>
      <c r="F91" s="251">
        <f>C91</f>
        <v>1615585</v>
      </c>
    </row>
    <row r="92" spans="2:8" ht="13.9" x14ac:dyDescent="0.4">
      <c r="B92" s="104" t="s">
        <v>105</v>
      </c>
      <c r="C92" s="77">
        <f>C26</f>
        <v>897327</v>
      </c>
      <c r="D92" s="159">
        <f>C92/C91</f>
        <v>0.55541924442229906</v>
      </c>
      <c r="E92" s="252">
        <f>E91*D92</f>
        <v>897327</v>
      </c>
      <c r="F92" s="252">
        <f>F91*D92</f>
        <v>897327</v>
      </c>
    </row>
    <row r="93" spans="2:8" ht="13.9" x14ac:dyDescent="0.4">
      <c r="B93" s="104" t="s">
        <v>247</v>
      </c>
      <c r="C93" s="77">
        <f>C27+C28</f>
        <v>613104</v>
      </c>
      <c r="D93" s="159">
        <f>C93/C91</f>
        <v>0.37949349616392825</v>
      </c>
      <c r="E93" s="252">
        <f>E91*D93</f>
        <v>613104</v>
      </c>
      <c r="F93" s="252">
        <f>F91*D93</f>
        <v>613104</v>
      </c>
    </row>
    <row r="94" spans="2:8" ht="13.9" x14ac:dyDescent="0.4">
      <c r="B94" s="104" t="s">
        <v>256</v>
      </c>
      <c r="C94" s="77">
        <f>C29</f>
        <v>1003</v>
      </c>
      <c r="D94" s="159">
        <f>C94/C91</f>
        <v>6.208277497005729E-4</v>
      </c>
      <c r="E94" s="253"/>
      <c r="F94" s="252">
        <f>F91*D94</f>
        <v>1003.0000000000001</v>
      </c>
    </row>
    <row r="95" spans="2:8" ht="13.9" x14ac:dyDescent="0.4">
      <c r="B95" s="28" t="s">
        <v>246</v>
      </c>
      <c r="C95" s="77">
        <f>ABS(MAX(C33,0)-C32)</f>
        <v>20662</v>
      </c>
      <c r="D95" s="159">
        <f>C95/C91</f>
        <v>1.2789175437999239E-2</v>
      </c>
      <c r="E95" s="252">
        <f>E91*D95</f>
        <v>20662</v>
      </c>
      <c r="F95" s="252">
        <f>F91*D95</f>
        <v>20662</v>
      </c>
    </row>
    <row r="96" spans="2:8" ht="13.9" x14ac:dyDescent="0.4">
      <c r="B96" s="28" t="s">
        <v>109</v>
      </c>
      <c r="C96" s="77">
        <f>MAX(C31,0)</f>
        <v>0</v>
      </c>
      <c r="D96" s="159">
        <f>C96/C91</f>
        <v>0</v>
      </c>
      <c r="E96" s="253"/>
      <c r="F96" s="252">
        <f>F91*D96</f>
        <v>0</v>
      </c>
    </row>
    <row r="97" spans="2:7" ht="13.9" x14ac:dyDescent="0.4">
      <c r="B97" s="73" t="s">
        <v>172</v>
      </c>
      <c r="C97" s="77">
        <f>MAX(C30,0)/(1-C16)</f>
        <v>2932</v>
      </c>
      <c r="D97" s="159">
        <f>C97/C91</f>
        <v>1.8148224946381651E-3</v>
      </c>
      <c r="E97" s="253"/>
      <c r="F97" s="252">
        <f>F91*D97</f>
        <v>2932</v>
      </c>
    </row>
    <row r="98" spans="2:7" ht="13.9" x14ac:dyDescent="0.4">
      <c r="B98" s="86" t="s">
        <v>207</v>
      </c>
      <c r="C98" s="237">
        <f>C44</f>
        <v>0.1178</v>
      </c>
      <c r="D98" s="266"/>
      <c r="E98" s="254">
        <f>F98</f>
        <v>0.1178</v>
      </c>
      <c r="F98" s="254">
        <f>C98</f>
        <v>0.1178</v>
      </c>
      <c r="G98" s="1"/>
    </row>
  </sheetData>
  <mergeCells count="2">
    <mergeCell ref="C89:D89"/>
    <mergeCell ref="C90:D90"/>
  </mergeCells>
  <phoneticPr fontId="20" type="noConversion"/>
  <conditionalFormatting sqref="C16 C25:M33 C44:M44 E91:F93 F94 E95:F95 F96:F98">
    <cfRule type="containsBlanks" dxfId="20" priority="11">
      <formula>LEN(TRIM(C16))=0</formula>
    </cfRule>
  </conditionalFormatting>
  <conditionalFormatting sqref="C87">
    <cfRule type="containsBlanks" dxfId="19" priority="4">
      <formula>LEN(TRIM(C87))=0</formula>
    </cfRule>
  </conditionalFormatting>
  <conditionalFormatting sqref="C98">
    <cfRule type="containsBlanks" dxfId="18" priority="3">
      <formula>LEN(TRIM(C98))=0</formula>
    </cfRule>
  </conditionalFormatting>
  <conditionalFormatting sqref="D34:M43">
    <cfRule type="containsBlanks" dxfId="17" priority="17">
      <formula>LEN(TRIM(D34))=0</formula>
    </cfRule>
  </conditionalFormatting>
  <conditionalFormatting sqref="E98">
    <cfRule type="containsBlanks" dxfId="16" priority="1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4" tint="0.39997558519241921"/>
    <outlinePr summaryBelow="0" summaryRight="0"/>
    <pageSetUpPr fitToPage="1"/>
  </sheetPr>
  <dimension ref="A1:J923"/>
  <sheetViews>
    <sheetView showGridLines="0" zoomScaleNormal="100" workbookViewId="0">
      <selection activeCell="C3" sqref="C3:D3"/>
    </sheetView>
  </sheetViews>
  <sheetFormatPr defaultColWidth="12.33203125" defaultRowHeight="15" customHeight="1" x14ac:dyDescent="0.4"/>
  <cols>
    <col min="1" max="1" width="2.33203125" style="1" customWidth="1"/>
    <col min="2" max="2" width="30.6640625" style="1" customWidth="1"/>
    <col min="3" max="4" width="14.796875" style="1" customWidth="1"/>
    <col min="5" max="5" width="5.796875" style="1" customWidth="1"/>
    <col min="6" max="6" width="24.33203125" style="1" customWidth="1"/>
    <col min="7" max="8" width="14.796875" style="1" customWidth="1"/>
    <col min="9" max="9" width="14.33203125" style="1" bestFit="1" customWidth="1"/>
    <col min="10" max="16384" width="12.33203125" style="1"/>
  </cols>
  <sheetData>
    <row r="1" spans="1:10" ht="15" customHeight="1" x14ac:dyDescent="0.4">
      <c r="B1" s="87"/>
      <c r="C1" s="87"/>
      <c r="D1" s="87"/>
      <c r="E1" s="87"/>
      <c r="F1" s="87"/>
      <c r="G1" s="87"/>
      <c r="H1" s="87"/>
    </row>
    <row r="2" spans="1:10" ht="15.75" customHeight="1" x14ac:dyDescent="0.4">
      <c r="A2" s="5"/>
      <c r="B2" s="6" t="s">
        <v>0</v>
      </c>
      <c r="C2" s="25" t="str">
        <f>C3&amp;" : "&amp;C4</f>
        <v>6601.HK : 朝云集团</v>
      </c>
      <c r="D2" s="87"/>
      <c r="E2" s="7"/>
      <c r="F2" s="7"/>
      <c r="G2" s="86"/>
      <c r="H2" s="86"/>
    </row>
    <row r="3" spans="1:10" ht="15.75" customHeight="1" x14ac:dyDescent="0.4">
      <c r="B3" s="3" t="s">
        <v>194</v>
      </c>
      <c r="C3" s="277" t="str">
        <f>Inputs!C4</f>
        <v>6601.HK</v>
      </c>
      <c r="D3" s="278"/>
      <c r="E3" s="87"/>
      <c r="F3" s="3" t="s">
        <v>1</v>
      </c>
      <c r="G3" s="132">
        <v>1.92</v>
      </c>
      <c r="H3" s="134" t="s">
        <v>270</v>
      </c>
    </row>
    <row r="4" spans="1:10" ht="15.75" customHeight="1" x14ac:dyDescent="0.4">
      <c r="B4" s="35" t="s">
        <v>195</v>
      </c>
      <c r="C4" s="279" t="str">
        <f>Inputs!C5</f>
        <v>朝云集团</v>
      </c>
      <c r="D4" s="280"/>
      <c r="E4" s="87"/>
      <c r="F4" s="3" t="s">
        <v>2</v>
      </c>
      <c r="G4" s="283">
        <f>Inputs!C10</f>
        <v>1333333500</v>
      </c>
      <c r="H4" s="283"/>
      <c r="I4" s="39"/>
    </row>
    <row r="5" spans="1:10" ht="15.75" customHeight="1" x14ac:dyDescent="0.4">
      <c r="B5" s="3" t="s">
        <v>163</v>
      </c>
      <c r="C5" s="281">
        <f>Inputs!C6</f>
        <v>45593</v>
      </c>
      <c r="D5" s="282"/>
      <c r="E5" s="34"/>
      <c r="F5" s="35" t="s">
        <v>99</v>
      </c>
      <c r="G5" s="275">
        <f>G3*G4/1000000</f>
        <v>2560.0003200000001</v>
      </c>
      <c r="H5" s="275"/>
      <c r="I5" s="38"/>
      <c r="J5" s="28"/>
    </row>
    <row r="6" spans="1:10" ht="15.75" customHeight="1" x14ac:dyDescent="0.4">
      <c r="B6" s="87" t="s">
        <v>3</v>
      </c>
      <c r="C6" s="185">
        <f>Inputs!C7</f>
        <v>8</v>
      </c>
      <c r="D6" s="186">
        <f>EOMONTH(EDATE(Fin_Analysis!D9,C6),0)</f>
        <v>45716</v>
      </c>
      <c r="E6" s="51">
        <f>IF(Fin_Analysis!E9="FY",Fin_Analysis!D9,Data!C3)</f>
        <v>45291</v>
      </c>
      <c r="F6" s="3" t="s">
        <v>4</v>
      </c>
      <c r="G6" s="276" t="str">
        <f>Inputs!C11</f>
        <v>CNY</v>
      </c>
      <c r="H6" s="276"/>
      <c r="I6" s="38"/>
    </row>
    <row r="7" spans="1:10" ht="15.75" customHeight="1" x14ac:dyDescent="0.4">
      <c r="B7" s="86" t="s">
        <v>192</v>
      </c>
      <c r="C7" s="187" t="str">
        <f>Inputs!C8</f>
        <v>Tier 3</v>
      </c>
      <c r="D7" s="187" t="str">
        <f>Inputs!C9</f>
        <v>C0007</v>
      </c>
      <c r="E7" s="87"/>
      <c r="F7" s="35" t="s">
        <v>5</v>
      </c>
      <c r="G7" s="133">
        <v>1.0701607068379719</v>
      </c>
      <c r="H7" s="71" t="str">
        <f>IF(G6=Dashboard!H3,H3,G6&amp;"/"&amp;Dashboard!H3)</f>
        <v>CNY/HKD</v>
      </c>
    </row>
    <row r="8" spans="1:10" ht="15.75" customHeight="1" x14ac:dyDescent="0.4"/>
    <row r="9" spans="1:10" ht="15.75" customHeight="1" x14ac:dyDescent="0.4">
      <c r="B9" s="139" t="s">
        <v>190</v>
      </c>
      <c r="F9" s="143" t="s">
        <v>185</v>
      </c>
    </row>
    <row r="10" spans="1:10" ht="15.75" customHeight="1" x14ac:dyDescent="0.4">
      <c r="B10" s="1" t="s">
        <v>175</v>
      </c>
      <c r="C10" s="172">
        <v>4.2000000000000003E-2</v>
      </c>
      <c r="F10" s="110" t="s">
        <v>182</v>
      </c>
    </row>
    <row r="11" spans="1:10" ht="15.75" customHeight="1" thickBot="1" x14ac:dyDescent="0.45">
      <c r="B11" s="122" t="s">
        <v>179</v>
      </c>
      <c r="C11" s="173">
        <v>5.2299999999999999E-2</v>
      </c>
      <c r="D11" s="137" t="s">
        <v>189</v>
      </c>
      <c r="F11" s="110" t="s">
        <v>177</v>
      </c>
    </row>
    <row r="12" spans="1:10" ht="15.75" customHeight="1" thickTop="1" x14ac:dyDescent="0.4">
      <c r="B12" s="87" t="s">
        <v>253</v>
      </c>
      <c r="C12" s="174">
        <v>7.4999999999999997E-2</v>
      </c>
      <c r="D12" s="172">
        <v>8.0625000000000002E-2</v>
      </c>
      <c r="F12" s="110"/>
    </row>
    <row r="13" spans="1:10" ht="15.75" customHeight="1" x14ac:dyDescent="0.4"/>
    <row r="14" spans="1:10" ht="15.75" customHeight="1" x14ac:dyDescent="0.4">
      <c r="B14" s="1" t="s">
        <v>176</v>
      </c>
      <c r="C14" s="172">
        <v>1.8100000000000002E-2</v>
      </c>
      <c r="F14" s="110" t="s">
        <v>181</v>
      </c>
    </row>
    <row r="15" spans="1:10" ht="15.75" customHeight="1" x14ac:dyDescent="0.4">
      <c r="B15" s="1" t="s">
        <v>186</v>
      </c>
      <c r="C15" s="172">
        <v>6.5000000000000002E-2</v>
      </c>
      <c r="F15" s="110" t="s">
        <v>180</v>
      </c>
    </row>
    <row r="16" spans="1:10" ht="15.75" customHeight="1" thickBot="1" x14ac:dyDescent="0.45">
      <c r="B16" s="122" t="s">
        <v>187</v>
      </c>
      <c r="C16" s="173">
        <v>0.16</v>
      </c>
      <c r="D16" s="265" t="str">
        <f>Inputs!C15</f>
        <v>CN</v>
      </c>
      <c r="F16" s="110" t="s">
        <v>178</v>
      </c>
    </row>
    <row r="17" spans="1:8" ht="15.75" customHeight="1" thickTop="1" x14ac:dyDescent="0.4">
      <c r="B17" s="87" t="s">
        <v>254</v>
      </c>
      <c r="C17" s="175">
        <v>8.6249999999999993E-2</v>
      </c>
      <c r="D17" s="176"/>
    </row>
    <row r="18" spans="1:8" ht="15.75" customHeight="1" x14ac:dyDescent="0.4"/>
    <row r="19" spans="1:8" ht="15.75" customHeight="1" x14ac:dyDescent="0.4">
      <c r="B19" s="142" t="s">
        <v>183</v>
      </c>
      <c r="C19" s="135" t="s">
        <v>51</v>
      </c>
      <c r="D19" s="87"/>
      <c r="E19" s="87"/>
      <c r="F19" s="142" t="s">
        <v>212</v>
      </c>
      <c r="G19" s="87"/>
      <c r="H19" s="87"/>
    </row>
    <row r="20" spans="1:8" ht="15.75" customHeight="1" x14ac:dyDescent="0.4">
      <c r="B20" s="137" t="s">
        <v>169</v>
      </c>
      <c r="C20" s="171">
        <f>Fin_Analysis!I75</f>
        <v>0.55541924442229906</v>
      </c>
      <c r="F20" s="87" t="s">
        <v>211</v>
      </c>
      <c r="G20" s="172">
        <v>0.15</v>
      </c>
    </row>
    <row r="21" spans="1:8" ht="15.75" customHeight="1" x14ac:dyDescent="0.4">
      <c r="B21" s="137" t="s">
        <v>244</v>
      </c>
      <c r="C21" s="171">
        <f>Fin_Analysis!I77</f>
        <v>0.37949349616392825</v>
      </c>
      <c r="F21" s="87"/>
      <c r="G21" s="29"/>
    </row>
    <row r="22" spans="1:8" ht="15.75" customHeight="1" x14ac:dyDescent="0.4">
      <c r="B22" s="137" t="s">
        <v>191</v>
      </c>
      <c r="C22" s="171">
        <f>Fin_Analysis!I78</f>
        <v>1.8148224946381651E-3</v>
      </c>
      <c r="F22" s="142" t="s">
        <v>184</v>
      </c>
    </row>
    <row r="23" spans="1:8" ht="15.75" customHeight="1" x14ac:dyDescent="0.4">
      <c r="B23" s="137" t="s">
        <v>171</v>
      </c>
      <c r="C23" s="171">
        <f>Fin_Analysis!I80</f>
        <v>0</v>
      </c>
      <c r="F23" s="140" t="s">
        <v>188</v>
      </c>
      <c r="G23" s="177">
        <f>G3/(Data!C36*Data!C4/Common_Shares*Exchange_Rate)</f>
        <v>0.79019941798609783</v>
      </c>
    </row>
    <row r="24" spans="1:8" ht="15.75" customHeight="1" x14ac:dyDescent="0.4">
      <c r="B24" s="137" t="s">
        <v>170</v>
      </c>
      <c r="C24" s="171">
        <f>Fin_Analysis!I81</f>
        <v>6.208277497005729E-4</v>
      </c>
      <c r="F24" s="140" t="s">
        <v>259</v>
      </c>
      <c r="G24" s="268">
        <f>G3/(Fin_Analysis!H86*G7)</f>
        <v>39.593734895357237</v>
      </c>
    </row>
    <row r="25" spans="1:8" ht="15.75" customHeight="1" x14ac:dyDescent="0.4">
      <c r="B25" s="137" t="s">
        <v>243</v>
      </c>
      <c r="C25" s="171">
        <f>Fin_Analysis!I82</f>
        <v>1.2789175437999239E-2</v>
      </c>
      <c r="F25" s="140" t="s">
        <v>174</v>
      </c>
      <c r="G25" s="171">
        <f>Fin_Analysis!I88</f>
        <v>2.5996778479834153</v>
      </c>
    </row>
    <row r="26" spans="1:8" ht="15.75" customHeight="1" x14ac:dyDescent="0.4">
      <c r="B26" s="138" t="s">
        <v>173</v>
      </c>
      <c r="C26" s="171">
        <f>Fin_Analysis!I83</f>
        <v>4.9862433731434744E-2</v>
      </c>
      <c r="F26" s="141" t="s">
        <v>193</v>
      </c>
      <c r="G26" s="178">
        <f>Fin_Analysis!H88*Exchange_Rate/G3</f>
        <v>6.5658818367454741E-2</v>
      </c>
    </row>
    <row r="27" spans="1:8" ht="15.75" customHeight="1" x14ac:dyDescent="0.4"/>
    <row r="28" spans="1:8" ht="15.75" customHeight="1" x14ac:dyDescent="0.4">
      <c r="A28" s="5"/>
      <c r="B28" s="90" t="s">
        <v>6</v>
      </c>
      <c r="C28" s="89" t="s">
        <v>166</v>
      </c>
      <c r="D28" s="43" t="s">
        <v>167</v>
      </c>
      <c r="E28" s="58"/>
      <c r="F28" s="53" t="s">
        <v>237</v>
      </c>
      <c r="G28" s="273" t="s">
        <v>257</v>
      </c>
      <c r="H28" s="273"/>
    </row>
    <row r="29" spans="1:8" ht="15.75" customHeight="1" x14ac:dyDescent="0.4">
      <c r="B29" s="87" t="s">
        <v>168</v>
      </c>
      <c r="C29" s="130">
        <f>IF(Fin_Analysis!C108="Profit",Fin_Analysis!D100,IF(Fin_Analysis!C108="Dividend",Fin_Analysis!D103,Fin_Analysis!D106))</f>
        <v>1.3535822141388751</v>
      </c>
      <c r="D29" s="129">
        <f>G29*(1+G20)</f>
        <v>2.2250176603740472</v>
      </c>
      <c r="E29" s="87"/>
      <c r="F29" s="131">
        <f>IF(Fin_Analysis!C108="Profit",Fin_Analysis!F100,IF(Fin_Analysis!C108="Dividend",Fin_Analysis!F103,Fin_Analysis!F106))</f>
        <v>1.5924496636927943</v>
      </c>
      <c r="G29" s="274">
        <f>IF(Fin_Analysis!C108="Profit",Fin_Analysis!I100,IF(Fin_Analysis!C108="Dividend",Fin_Analysis!I103,Fin_Analysis!I106))</f>
        <v>1.9347979655426499</v>
      </c>
      <c r="H29" s="274"/>
    </row>
    <row r="30" spans="1:8" ht="15.75" customHeight="1" x14ac:dyDescent="0.4"/>
    <row r="31" spans="1:8" ht="15.75" customHeight="1" x14ac:dyDescent="0.4">
      <c r="A31" s="5"/>
      <c r="B31" s="6" t="s">
        <v>222</v>
      </c>
      <c r="C31"/>
    </row>
    <row r="32" spans="1:8" ht="15.75" customHeight="1" x14ac:dyDescent="0.4">
      <c r="A32"/>
      <c r="B32" s="196" t="s">
        <v>223</v>
      </c>
      <c r="C32" s="224"/>
    </row>
    <row r="33" spans="1:3" ht="15.75" customHeight="1" x14ac:dyDescent="0.4">
      <c r="A33"/>
      <c r="B33" s="20" t="s">
        <v>224</v>
      </c>
      <c r="C33" s="245" t="str">
        <f>Inputs!C17</f>
        <v>unclear</v>
      </c>
    </row>
    <row r="34" spans="1:3" ht="15.75" customHeight="1" x14ac:dyDescent="0.4">
      <c r="A34"/>
      <c r="B34" s="19" t="s">
        <v>225</v>
      </c>
      <c r="C34" s="225" t="str">
        <f>IF(AND(OR(Fin_Analysis!I26&lt;0.8,Fin_Analysis!I46&lt;0.6),Data!C55&lt;0.8),"Strongly disagree",
IF(AND(OR(Fin_Analysis!I26&lt;1,Fin_Analysis!I46&lt;0.8),Data!C55&lt;1),"unclear", IF(AND(OR(Fin_Analysis!I26&lt;1.4,Fin_Analysis!I46&lt;1.2),Data!C55&lt;1.4),"agree","Strongly agree")))</f>
        <v>Strongly agree</v>
      </c>
    </row>
    <row r="35" spans="1:3" ht="15.75" customHeight="1" x14ac:dyDescent="0.4">
      <c r="A35"/>
      <c r="B35" s="196" t="s">
        <v>226</v>
      </c>
      <c r="C35" s="224"/>
    </row>
    <row r="36" spans="1:3" ht="15.75" customHeight="1" x14ac:dyDescent="0.4">
      <c r="A36"/>
      <c r="B36" s="20" t="s">
        <v>238</v>
      </c>
      <c r="C36" s="245" t="str">
        <f>Inputs!C18</f>
        <v>unclear</v>
      </c>
    </row>
    <row r="37" spans="1:3" ht="15.75" customHeight="1" x14ac:dyDescent="0.4">
      <c r="A37"/>
      <c r="B37" s="20" t="s">
        <v>239</v>
      </c>
      <c r="C37" s="245" t="str">
        <f>Inputs!C19</f>
        <v>unclear</v>
      </c>
    </row>
    <row r="38" spans="1:3" ht="15.75" customHeight="1" x14ac:dyDescent="0.4">
      <c r="A38"/>
      <c r="B38" s="196" t="s">
        <v>227</v>
      </c>
      <c r="C38" s="224"/>
    </row>
    <row r="39" spans="1:3" ht="15.75" customHeight="1" x14ac:dyDescent="0.4">
      <c r="A39"/>
      <c r="B39" s="19" t="s">
        <v>228</v>
      </c>
      <c r="C39" s="245" t="str">
        <f>Inputs!C20</f>
        <v>unclear</v>
      </c>
    </row>
    <row r="40" spans="1:3" ht="15.75" customHeight="1" x14ac:dyDescent="0.4">
      <c r="A40"/>
      <c r="B40" s="1" t="s">
        <v>231</v>
      </c>
      <c r="C40" s="245" t="str">
        <f>Inputs!C21</f>
        <v>unclear</v>
      </c>
    </row>
    <row r="41" spans="1:3" ht="15.75" customHeight="1" x14ac:dyDescent="0.4">
      <c r="A41"/>
      <c r="B41"/>
      <c r="C41"/>
    </row>
    <row r="42" spans="1:3" ht="15.75" customHeight="1" x14ac:dyDescent="0.4">
      <c r="A42" s="5"/>
      <c r="B42" s="6" t="s">
        <v>229</v>
      </c>
      <c r="C42"/>
    </row>
    <row r="43" spans="1:3" ht="65.650000000000006" x14ac:dyDescent="0.4">
      <c r="A43"/>
      <c r="B43" s="226" t="s">
        <v>230</v>
      </c>
      <c r="C43" s="244" t="str">
        <f>Inputs!C22</f>
        <v>Unclear</v>
      </c>
    </row>
    <row r="44" spans="1:3" ht="15.75" customHeight="1" x14ac:dyDescent="0.4"/>
    <row r="45" spans="1:3" ht="15.75" customHeight="1" x14ac:dyDescent="0.4"/>
    <row r="46" spans="1:3" ht="15.75" customHeight="1" x14ac:dyDescent="0.4"/>
    <row r="47" spans="1:3" ht="15.75" customHeight="1" x14ac:dyDescent="0.4"/>
    <row r="48" spans="1:3" ht="15.75" customHeight="1" x14ac:dyDescent="0.4"/>
    <row r="49" ht="15.75" customHeight="1" x14ac:dyDescent="0.4"/>
    <row r="50" ht="15.75" customHeight="1" x14ac:dyDescent="0.4"/>
    <row r="51" ht="15.75" customHeight="1" x14ac:dyDescent="0.4"/>
    <row r="52" ht="15.75" customHeight="1" x14ac:dyDescent="0.4"/>
    <row r="53" ht="15.75" customHeight="1" x14ac:dyDescent="0.4"/>
    <row r="54" ht="15.75" customHeight="1" x14ac:dyDescent="0.4"/>
    <row r="55" ht="15.75" customHeight="1" x14ac:dyDescent="0.4"/>
    <row r="56" ht="15.75" customHeight="1" x14ac:dyDescent="0.4"/>
    <row r="57" ht="15.75" customHeight="1" x14ac:dyDescent="0.4"/>
    <row r="58" ht="15.75" customHeight="1" x14ac:dyDescent="0.4"/>
    <row r="59" ht="15.75" customHeight="1" x14ac:dyDescent="0.4"/>
    <row r="60" ht="15.75" customHeight="1" x14ac:dyDescent="0.4"/>
    <row r="61" ht="15.75" customHeight="1" x14ac:dyDescent="0.4"/>
    <row r="62" ht="15.75" customHeight="1" x14ac:dyDescent="0.4"/>
    <row r="63" ht="15.75" customHeight="1" x14ac:dyDescent="0.4"/>
    <row r="64" ht="15.75" customHeight="1" x14ac:dyDescent="0.4"/>
    <row r="65" ht="15.75" customHeight="1" x14ac:dyDescent="0.4"/>
    <row r="66" ht="15.75" customHeight="1" x14ac:dyDescent="0.4"/>
    <row r="67" ht="15.75" customHeight="1" x14ac:dyDescent="0.4"/>
    <row r="68" ht="15.75" customHeight="1" x14ac:dyDescent="0.4"/>
    <row r="69" ht="15.75" customHeight="1" x14ac:dyDescent="0.4"/>
    <row r="70" ht="15.75" customHeight="1" x14ac:dyDescent="0.4"/>
    <row r="71" ht="15.75" customHeight="1" x14ac:dyDescent="0.4"/>
    <row r="72" ht="15.75" customHeight="1" x14ac:dyDescent="0.4"/>
    <row r="73" ht="15.75" customHeight="1" x14ac:dyDescent="0.4"/>
    <row r="74" ht="15.75" customHeight="1" x14ac:dyDescent="0.4"/>
    <row r="75" ht="15.75" customHeight="1" x14ac:dyDescent="0.4"/>
    <row r="76" ht="15.75" customHeight="1" x14ac:dyDescent="0.4"/>
    <row r="77" ht="15.75" customHeight="1" x14ac:dyDescent="0.4"/>
    <row r="78" ht="15.75" customHeight="1" x14ac:dyDescent="0.4"/>
    <row r="79" ht="15.75" customHeight="1" x14ac:dyDescent="0.4"/>
    <row r="80" ht="15.75" customHeight="1" x14ac:dyDescent="0.4"/>
    <row r="81" ht="15.75" customHeight="1" x14ac:dyDescent="0.4"/>
    <row r="82" ht="15.75" customHeight="1" x14ac:dyDescent="0.4"/>
    <row r="83" ht="15.75" customHeight="1" x14ac:dyDescent="0.4"/>
    <row r="84" ht="15.75" customHeight="1" x14ac:dyDescent="0.4"/>
    <row r="85" ht="15.75" customHeight="1" x14ac:dyDescent="0.4"/>
    <row r="86" ht="15.75" customHeight="1" x14ac:dyDescent="0.4"/>
    <row r="87" ht="15.75" customHeight="1" x14ac:dyDescent="0.4"/>
    <row r="88" ht="15.75" customHeight="1" x14ac:dyDescent="0.4"/>
    <row r="89" ht="15.75" customHeight="1" x14ac:dyDescent="0.4"/>
    <row r="90" ht="15.75" customHeight="1" x14ac:dyDescent="0.4"/>
    <row r="91" ht="15.75" customHeight="1" x14ac:dyDescent="0.4"/>
    <row r="92" ht="15.75" customHeight="1" x14ac:dyDescent="0.4"/>
    <row r="93" ht="15.75" customHeight="1" x14ac:dyDescent="0.4"/>
    <row r="94" ht="15.75" customHeight="1" x14ac:dyDescent="0.4"/>
    <row r="95" ht="15.75" customHeight="1" x14ac:dyDescent="0.4"/>
    <row r="96" ht="15.75" customHeight="1" x14ac:dyDescent="0.4"/>
    <row r="97" ht="15.75" customHeight="1" x14ac:dyDescent="0.4"/>
    <row r="98" ht="15.75" customHeight="1" x14ac:dyDescent="0.4"/>
    <row r="99" ht="15.75" customHeight="1" x14ac:dyDescent="0.4"/>
    <row r="100" ht="15.75" customHeight="1" x14ac:dyDescent="0.4"/>
    <row r="101" ht="15.75" customHeight="1" x14ac:dyDescent="0.4"/>
    <row r="102" ht="15.75" customHeight="1" x14ac:dyDescent="0.4"/>
    <row r="103" ht="15.75" customHeight="1" x14ac:dyDescent="0.4"/>
    <row r="104" ht="15.75" customHeight="1" x14ac:dyDescent="0.4"/>
    <row r="105" ht="15.75" customHeight="1" x14ac:dyDescent="0.4"/>
    <row r="106" ht="15.75" customHeight="1" x14ac:dyDescent="0.4"/>
    <row r="107" ht="15.75" customHeight="1" x14ac:dyDescent="0.4"/>
    <row r="108" ht="15.75" customHeight="1" x14ac:dyDescent="0.4"/>
    <row r="109" ht="15.75" customHeight="1" x14ac:dyDescent="0.4"/>
    <row r="110" ht="15.75" customHeight="1" x14ac:dyDescent="0.4"/>
    <row r="111" ht="15.75" customHeight="1" x14ac:dyDescent="0.4"/>
    <row r="112" ht="15.75" customHeight="1" x14ac:dyDescent="0.4"/>
    <row r="113" ht="15.75" customHeight="1" x14ac:dyDescent="0.4"/>
    <row r="114" ht="15.75" customHeight="1" x14ac:dyDescent="0.4"/>
    <row r="115" ht="15.75" customHeight="1" x14ac:dyDescent="0.4"/>
    <row r="116" ht="15.75" customHeight="1" x14ac:dyDescent="0.4"/>
    <row r="117" ht="15.75" customHeight="1" x14ac:dyDescent="0.4"/>
    <row r="118" ht="15.75" customHeight="1" x14ac:dyDescent="0.4"/>
    <row r="119" ht="15.75" customHeight="1" x14ac:dyDescent="0.4"/>
    <row r="120" ht="15.75" customHeight="1" x14ac:dyDescent="0.4"/>
    <row r="121" ht="15.75" customHeight="1" x14ac:dyDescent="0.4"/>
    <row r="122" ht="15.75" customHeight="1" x14ac:dyDescent="0.4"/>
    <row r="123" ht="15.75" customHeight="1" x14ac:dyDescent="0.4"/>
    <row r="124" ht="15.75" customHeight="1" x14ac:dyDescent="0.4"/>
    <row r="125" ht="15.75" customHeight="1" x14ac:dyDescent="0.4"/>
    <row r="126" ht="15.75" customHeight="1" x14ac:dyDescent="0.4"/>
    <row r="127" ht="15.75" customHeight="1" x14ac:dyDescent="0.4"/>
    <row r="128" ht="15.75" customHeight="1" x14ac:dyDescent="0.4"/>
    <row r="129" ht="15.75" customHeight="1" x14ac:dyDescent="0.4"/>
    <row r="130" ht="15.75" customHeight="1" x14ac:dyDescent="0.4"/>
    <row r="131" ht="15.75" customHeight="1" x14ac:dyDescent="0.4"/>
    <row r="132" ht="15.75" customHeight="1" x14ac:dyDescent="0.4"/>
    <row r="133" ht="15.75" customHeight="1" x14ac:dyDescent="0.4"/>
    <row r="134" ht="15.75" customHeight="1" x14ac:dyDescent="0.4"/>
    <row r="135" ht="15.75" customHeight="1" x14ac:dyDescent="0.4"/>
    <row r="136" ht="15.75" customHeight="1" x14ac:dyDescent="0.4"/>
    <row r="137" ht="15.75" customHeight="1" x14ac:dyDescent="0.4"/>
    <row r="138" ht="15.75" customHeight="1" x14ac:dyDescent="0.4"/>
    <row r="139" ht="15.75" customHeight="1" x14ac:dyDescent="0.4"/>
    <row r="140" ht="15.75" customHeight="1" x14ac:dyDescent="0.4"/>
    <row r="141" ht="15.75" customHeight="1" x14ac:dyDescent="0.4"/>
    <row r="142" ht="15.75" customHeight="1" x14ac:dyDescent="0.4"/>
    <row r="143" ht="15.75" customHeight="1" x14ac:dyDescent="0.4"/>
    <row r="144" ht="15.75" customHeight="1" x14ac:dyDescent="0.4"/>
    <row r="145" ht="15.75" customHeight="1" x14ac:dyDescent="0.4"/>
    <row r="146" ht="15.75" customHeight="1" x14ac:dyDescent="0.4"/>
    <row r="147" ht="15.75" customHeight="1" x14ac:dyDescent="0.4"/>
    <row r="148" ht="15.75" customHeight="1" x14ac:dyDescent="0.4"/>
    <row r="149" ht="15.75" customHeight="1" x14ac:dyDescent="0.4"/>
    <row r="150" ht="15.75" customHeight="1" x14ac:dyDescent="0.4"/>
    <row r="151" ht="15.75" customHeight="1" x14ac:dyDescent="0.4"/>
    <row r="152" ht="15.75" customHeight="1" x14ac:dyDescent="0.4"/>
    <row r="153" ht="15.75" customHeight="1" x14ac:dyDescent="0.4"/>
    <row r="154" ht="15.75" customHeight="1" x14ac:dyDescent="0.4"/>
    <row r="155" ht="15.75" customHeight="1" x14ac:dyDescent="0.4"/>
    <row r="156" ht="15.75" customHeight="1" x14ac:dyDescent="0.4"/>
    <row r="157" ht="15.75" customHeight="1" x14ac:dyDescent="0.4"/>
    <row r="158" ht="15.75" customHeight="1" x14ac:dyDescent="0.4"/>
    <row r="159" ht="15.75" customHeight="1" x14ac:dyDescent="0.4"/>
    <row r="160" ht="15.75" customHeight="1" x14ac:dyDescent="0.4"/>
    <row r="161" ht="15.75" customHeight="1" x14ac:dyDescent="0.4"/>
    <row r="162" ht="15.75" customHeight="1" x14ac:dyDescent="0.4"/>
    <row r="163" ht="15.75" customHeight="1" x14ac:dyDescent="0.4"/>
    <row r="164" ht="15.75" customHeight="1" x14ac:dyDescent="0.4"/>
    <row r="165" ht="15.75" customHeight="1" x14ac:dyDescent="0.4"/>
    <row r="166" ht="15.75" customHeight="1" x14ac:dyDescent="0.4"/>
    <row r="167" ht="15.75" customHeight="1" x14ac:dyDescent="0.4"/>
    <row r="168" ht="15.75" customHeight="1" x14ac:dyDescent="0.4"/>
    <row r="169" ht="15.75" customHeight="1" x14ac:dyDescent="0.4"/>
    <row r="170" ht="15.75" customHeight="1" x14ac:dyDescent="0.4"/>
    <row r="171" ht="15.75" customHeight="1" x14ac:dyDescent="0.4"/>
    <row r="172" ht="15.75" customHeight="1" x14ac:dyDescent="0.4"/>
    <row r="173" ht="15.75" customHeight="1" x14ac:dyDescent="0.4"/>
    <row r="174" ht="15.75" customHeight="1" x14ac:dyDescent="0.4"/>
    <row r="175" ht="15.75" customHeight="1" x14ac:dyDescent="0.4"/>
    <row r="176" ht="15.75" customHeight="1" x14ac:dyDescent="0.4"/>
    <row r="177" ht="15.75" customHeight="1" x14ac:dyDescent="0.4"/>
    <row r="178" ht="15.75" customHeight="1" x14ac:dyDescent="0.4"/>
    <row r="179" ht="15.75" customHeight="1" x14ac:dyDescent="0.4"/>
    <row r="180" ht="15.75" customHeight="1" x14ac:dyDescent="0.4"/>
    <row r="181" ht="15.75" customHeight="1" x14ac:dyDescent="0.4"/>
    <row r="182" ht="15.75" customHeight="1" x14ac:dyDescent="0.4"/>
    <row r="183" ht="15.75" customHeight="1" x14ac:dyDescent="0.4"/>
    <row r="184" ht="15.75" customHeight="1" x14ac:dyDescent="0.4"/>
    <row r="185" ht="15.75" customHeight="1" x14ac:dyDescent="0.4"/>
    <row r="186" ht="15.75" customHeight="1" x14ac:dyDescent="0.4"/>
    <row r="187" ht="15.75" customHeight="1" x14ac:dyDescent="0.4"/>
    <row r="188" ht="15.75" customHeight="1" x14ac:dyDescent="0.4"/>
    <row r="189" ht="15.75" customHeight="1" x14ac:dyDescent="0.4"/>
    <row r="190" ht="15.75" customHeight="1" x14ac:dyDescent="0.4"/>
    <row r="191" ht="15.75" customHeight="1" x14ac:dyDescent="0.4"/>
    <row r="192" ht="15.75" customHeight="1" x14ac:dyDescent="0.4"/>
    <row r="193" ht="15.75" customHeight="1" x14ac:dyDescent="0.4"/>
    <row r="194" ht="15.75" customHeight="1" x14ac:dyDescent="0.4"/>
    <row r="195" ht="15.75" customHeight="1" x14ac:dyDescent="0.4"/>
    <row r="196" ht="15.75" customHeight="1" x14ac:dyDescent="0.4"/>
    <row r="197" ht="15.75" customHeight="1" x14ac:dyDescent="0.4"/>
    <row r="198" ht="15.75" customHeight="1" x14ac:dyDescent="0.4"/>
    <row r="199" ht="15.75" customHeight="1" x14ac:dyDescent="0.4"/>
    <row r="200" ht="15.75" customHeight="1" x14ac:dyDescent="0.4"/>
    <row r="201" ht="15.75" customHeight="1" x14ac:dyDescent="0.4"/>
    <row r="202" ht="15.75" customHeight="1" x14ac:dyDescent="0.4"/>
    <row r="203" ht="15.75" customHeight="1" x14ac:dyDescent="0.4"/>
    <row r="204" ht="15.75" customHeight="1" x14ac:dyDescent="0.4"/>
    <row r="205" ht="15.75" customHeight="1" x14ac:dyDescent="0.4"/>
    <row r="206" ht="15.75" customHeight="1" x14ac:dyDescent="0.4"/>
    <row r="207" ht="15.75" customHeight="1" x14ac:dyDescent="0.4"/>
    <row r="208" ht="15.75" customHeight="1" x14ac:dyDescent="0.4"/>
    <row r="209" ht="15.75" customHeight="1" x14ac:dyDescent="0.4"/>
    <row r="210" ht="15.75" customHeight="1" x14ac:dyDescent="0.4"/>
    <row r="211" ht="15.75" customHeight="1" x14ac:dyDescent="0.4"/>
    <row r="212" ht="15.75" customHeight="1" x14ac:dyDescent="0.4"/>
    <row r="213" ht="15.75" customHeight="1" x14ac:dyDescent="0.4"/>
    <row r="214" ht="15.75" customHeight="1" x14ac:dyDescent="0.4"/>
    <row r="215" ht="15.75" customHeight="1" x14ac:dyDescent="0.4"/>
    <row r="216" ht="15.75" customHeight="1" x14ac:dyDescent="0.4"/>
    <row r="217" ht="15.75" customHeight="1" x14ac:dyDescent="0.4"/>
    <row r="218" ht="15.75" customHeight="1" x14ac:dyDescent="0.4"/>
    <row r="219" ht="15.75" customHeight="1" x14ac:dyDescent="0.4"/>
    <row r="220" ht="15.75" customHeight="1" x14ac:dyDescent="0.4"/>
    <row r="221" ht="15.75" customHeight="1" x14ac:dyDescent="0.4"/>
    <row r="222" ht="15.75" customHeight="1" x14ac:dyDescent="0.4"/>
    <row r="223" ht="15.75" customHeight="1" x14ac:dyDescent="0.4"/>
    <row r="224" ht="15.75" customHeight="1" x14ac:dyDescent="0.4"/>
    <row r="225" ht="15.75" customHeight="1" x14ac:dyDescent="0.4"/>
    <row r="226" ht="15.75" customHeight="1" x14ac:dyDescent="0.4"/>
    <row r="227" ht="15.75" customHeight="1" x14ac:dyDescent="0.4"/>
    <row r="228" ht="15.75" customHeight="1" x14ac:dyDescent="0.4"/>
    <row r="229" ht="15.75" customHeight="1" x14ac:dyDescent="0.4"/>
    <row r="230" ht="15.75" customHeight="1" x14ac:dyDescent="0.4"/>
    <row r="231" ht="15.75" customHeight="1" x14ac:dyDescent="0.4"/>
    <row r="232" ht="15.75" customHeight="1" x14ac:dyDescent="0.4"/>
    <row r="233" ht="15.75" customHeight="1" x14ac:dyDescent="0.4"/>
    <row r="234" ht="15.75" customHeight="1" x14ac:dyDescent="0.4"/>
    <row r="235" ht="15.75" customHeight="1" x14ac:dyDescent="0.4"/>
    <row r="236" ht="15.75" customHeight="1" x14ac:dyDescent="0.4"/>
    <row r="237" ht="15.75" customHeight="1" x14ac:dyDescent="0.4"/>
    <row r="238" ht="15.75" customHeight="1" x14ac:dyDescent="0.4"/>
    <row r="239" ht="15.75" customHeight="1" x14ac:dyDescent="0.4"/>
    <row r="240" ht="15.75" customHeight="1" x14ac:dyDescent="0.4"/>
    <row r="241" ht="15.75" customHeight="1" x14ac:dyDescent="0.4"/>
    <row r="242" ht="15.75" customHeight="1" x14ac:dyDescent="0.4"/>
    <row r="243" ht="15.75" customHeight="1" x14ac:dyDescent="0.4"/>
    <row r="244" ht="15.75" customHeight="1" x14ac:dyDescent="0.4"/>
    <row r="245" ht="15.75" customHeight="1" x14ac:dyDescent="0.4"/>
    <row r="246" ht="15.75" customHeight="1" x14ac:dyDescent="0.4"/>
    <row r="247" ht="15.75" customHeight="1" x14ac:dyDescent="0.4"/>
    <row r="248" ht="15.75" customHeight="1" x14ac:dyDescent="0.4"/>
    <row r="249" ht="15.75" customHeight="1" x14ac:dyDescent="0.4"/>
    <row r="250" ht="15.75" customHeight="1" x14ac:dyDescent="0.4"/>
    <row r="251" ht="15.75" customHeight="1" x14ac:dyDescent="0.4"/>
    <row r="252" ht="15.75" customHeight="1" x14ac:dyDescent="0.4"/>
    <row r="253" ht="15.75" customHeight="1" x14ac:dyDescent="0.4"/>
    <row r="254" ht="15.75" customHeight="1" x14ac:dyDescent="0.4"/>
    <row r="255" ht="15.75" customHeight="1" x14ac:dyDescent="0.4"/>
    <row r="256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20" type="noConversion"/>
  <conditionalFormatting sqref="C11:C12 C16:C17">
    <cfRule type="containsBlanks" dxfId="15" priority="5">
      <formula>LEN(TRIM(C11))=0</formula>
    </cfRule>
  </conditionalFormatting>
  <conditionalFormatting sqref="D12">
    <cfRule type="containsBlanks" dxfId="14" priority="3">
      <formula>LEN(TRIM(D12))=0</formula>
    </cfRule>
  </conditionalFormatting>
  <conditionalFormatting sqref="D17">
    <cfRule type="containsBlanks" dxfId="13" priority="2">
      <formula>LEN(TRIM(D17))=0</formula>
    </cfRule>
  </conditionalFormatting>
  <conditionalFormatting sqref="E28">
    <cfRule type="cellIs" dxfId="12" priority="41" operator="greaterThan">
      <formula>#REF!</formula>
    </cfRule>
  </conditionalFormatting>
  <conditionalFormatting sqref="G20">
    <cfRule type="containsBlanks" dxfId="11" priority="1">
      <formula>LEN(TRIM(G20))=0</formula>
    </cfRule>
  </conditionalFormatting>
  <dataValidations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  <drawing r:id="rId7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1"/>
  <sheetViews>
    <sheetView showGridLines="0" zoomScaleNormal="100" workbookViewId="0">
      <pane xSplit="2" topLeftCell="C1" activePane="topRight" state="frozen"/>
      <selection activeCell="A4" sqref="A4"/>
      <selection pane="topRight" activeCell="D52" sqref="D52"/>
    </sheetView>
  </sheetViews>
  <sheetFormatPr defaultColWidth="12.33203125" defaultRowHeight="15" customHeight="1" x14ac:dyDescent="0.4"/>
  <cols>
    <col min="1" max="1" width="1.33203125" style="1" customWidth="1"/>
    <col min="2" max="2" width="26.33203125" style="1" customWidth="1"/>
    <col min="3" max="13" width="24.6640625" style="1" customWidth="1"/>
    <col min="14" max="16384" width="12.33203125" style="1"/>
  </cols>
  <sheetData>
    <row r="1" spans="1:14" ht="8.25" customHeight="1" x14ac:dyDescent="0.4">
      <c r="A1" s="13"/>
      <c r="B1" s="14"/>
      <c r="C1" s="15"/>
      <c r="D1" s="15"/>
      <c r="E1" s="15"/>
      <c r="F1" s="15"/>
    </row>
    <row r="2" spans="1:14" ht="15.75" customHeight="1" x14ac:dyDescent="0.4">
      <c r="A2" s="16"/>
      <c r="B2" s="6" t="s">
        <v>8</v>
      </c>
      <c r="C2" s="18"/>
      <c r="D2" s="17"/>
      <c r="E2" s="148" t="s">
        <v>199</v>
      </c>
      <c r="F2" s="119" t="s">
        <v>202</v>
      </c>
      <c r="G2" s="148" t="s">
        <v>203</v>
      </c>
      <c r="H2" s="147" t="s">
        <v>204</v>
      </c>
      <c r="I2" s="7"/>
      <c r="J2" s="87"/>
      <c r="K2" s="7"/>
      <c r="L2" s="7"/>
      <c r="M2" s="7"/>
    </row>
    <row r="3" spans="1:14" ht="15.75" customHeight="1" x14ac:dyDescent="0.4">
      <c r="A3" s="4"/>
      <c r="B3" s="103" t="s">
        <v>9</v>
      </c>
      <c r="C3" s="201">
        <f>Inputs!C12</f>
        <v>45291</v>
      </c>
      <c r="E3" s="146" t="s">
        <v>200</v>
      </c>
      <c r="F3" s="85" t="str">
        <f>H14</f>
        <v/>
      </c>
      <c r="G3" s="85">
        <f>C14</f>
        <v>102222</v>
      </c>
      <c r="H3" s="85">
        <v>6</v>
      </c>
      <c r="I3" s="87"/>
      <c r="J3" s="42"/>
      <c r="K3" s="87"/>
      <c r="L3" s="87"/>
      <c r="M3" s="87"/>
    </row>
    <row r="4" spans="1:14" ht="15.75" customHeight="1" x14ac:dyDescent="0.4">
      <c r="A4" s="4"/>
      <c r="B4" s="103" t="s">
        <v>10</v>
      </c>
      <c r="C4" s="128">
        <f>Inputs!C13</f>
        <v>1000</v>
      </c>
      <c r="D4" s="1" t="str">
        <f>Dashboard!G6</f>
        <v>CNY</v>
      </c>
      <c r="E4" s="146" t="s">
        <v>201</v>
      </c>
      <c r="F4" s="93" t="e">
        <f>(G3/F3)^(1/H3)-1</f>
        <v>#VALUE!</v>
      </c>
      <c r="J4" s="87"/>
    </row>
    <row r="5" spans="1:14" ht="15.75" customHeight="1" x14ac:dyDescent="0.4">
      <c r="A5" s="16"/>
      <c r="B5" s="115" t="s">
        <v>133</v>
      </c>
      <c r="C5" s="48">
        <f>C3</f>
        <v>45291</v>
      </c>
      <c r="D5" s="49">
        <f>EOMONTH(EDATE(C5,-12),0)</f>
        <v>44926</v>
      </c>
      <c r="E5" s="49">
        <f t="shared" ref="E5:M5" si="0">EOMONTH(EDATE(D5,-12),0)</f>
        <v>44561</v>
      </c>
      <c r="F5" s="49">
        <f t="shared" si="0"/>
        <v>44196</v>
      </c>
      <c r="G5" s="49">
        <f t="shared" si="0"/>
        <v>43830</v>
      </c>
      <c r="H5" s="49">
        <f t="shared" si="0"/>
        <v>43465</v>
      </c>
      <c r="I5" s="49">
        <f t="shared" si="0"/>
        <v>43100</v>
      </c>
      <c r="J5" s="49">
        <f t="shared" si="0"/>
        <v>42735</v>
      </c>
      <c r="K5" s="49">
        <f t="shared" si="0"/>
        <v>42369</v>
      </c>
      <c r="L5" s="49">
        <f t="shared" si="0"/>
        <v>42004</v>
      </c>
      <c r="M5" s="49">
        <f t="shared" si="0"/>
        <v>41639</v>
      </c>
    </row>
    <row r="6" spans="1:14" ht="15.75" customHeight="1" x14ac:dyDescent="0.4">
      <c r="A6" s="4"/>
      <c r="B6" s="94" t="s">
        <v>11</v>
      </c>
      <c r="C6" s="200">
        <f>IF(Inputs!C25=""," ",Inputs!C25)</f>
        <v>1615585</v>
      </c>
      <c r="D6" s="200">
        <f>IF(Inputs!D25="","",Inputs!D25)</f>
        <v>1446638</v>
      </c>
      <c r="E6" s="200">
        <f>IF(Inputs!E25="","",Inputs!E25)</f>
        <v>1769157</v>
      </c>
      <c r="F6" s="200">
        <f>IF(Inputs!F25="","",Inputs!F25)</f>
        <v>1702154</v>
      </c>
      <c r="G6" s="200">
        <f>IF(Inputs!G25="","",Inputs!G25)</f>
        <v>1383402</v>
      </c>
      <c r="H6" s="200" t="str">
        <f>IF(Inputs!H25="","",Inputs!H25)</f>
        <v/>
      </c>
      <c r="I6" s="200" t="str">
        <f>IF(Inputs!I25="","",Inputs!I25)</f>
        <v/>
      </c>
      <c r="J6" s="200" t="str">
        <f>IF(Inputs!J25="","",Inputs!J25)</f>
        <v/>
      </c>
      <c r="K6" s="200" t="str">
        <f>IF(Inputs!K25="","",Inputs!K25)</f>
        <v/>
      </c>
      <c r="L6" s="200" t="str">
        <f>IF(Inputs!L25="","",Inputs!L25)</f>
        <v/>
      </c>
      <c r="M6" s="200" t="str">
        <f>IF(Inputs!M25="","",Inputs!M25)</f>
        <v/>
      </c>
      <c r="N6" s="87"/>
    </row>
    <row r="7" spans="1:14" ht="15.75" customHeight="1" x14ac:dyDescent="0.4">
      <c r="A7" s="4"/>
      <c r="B7" s="96" t="s">
        <v>12</v>
      </c>
      <c r="C7" s="92">
        <f t="shared" ref="C7:M7" si="1">IF(D6="","",C6/D6-1)</f>
        <v>0.11678595474472542</v>
      </c>
      <c r="D7" s="92">
        <f t="shared" si="1"/>
        <v>-0.18230094898304672</v>
      </c>
      <c r="E7" s="92">
        <f t="shared" si="1"/>
        <v>3.9363653347464389E-2</v>
      </c>
      <c r="F7" s="92">
        <f t="shared" si="1"/>
        <v>0.2304116952266948</v>
      </c>
      <c r="G7" s="92" t="str">
        <f t="shared" si="1"/>
        <v/>
      </c>
      <c r="H7" s="92" t="str">
        <f t="shared" si="1"/>
        <v/>
      </c>
      <c r="I7" s="92" t="str">
        <f t="shared" si="1"/>
        <v/>
      </c>
      <c r="J7" s="92" t="str">
        <f t="shared" si="1"/>
        <v/>
      </c>
      <c r="K7" s="92" t="str">
        <f t="shared" si="1"/>
        <v/>
      </c>
      <c r="L7" s="92" t="str">
        <f t="shared" si="1"/>
        <v/>
      </c>
      <c r="M7" s="92" t="str">
        <f t="shared" si="1"/>
        <v/>
      </c>
      <c r="N7" s="87"/>
    </row>
    <row r="8" spans="1:14" ht="15.75" customHeight="1" x14ac:dyDescent="0.4">
      <c r="A8" s="4"/>
      <c r="B8" s="97" t="s">
        <v>105</v>
      </c>
      <c r="C8" s="199">
        <f>IF(Inputs!C26="","",Inputs!C26)</f>
        <v>897327</v>
      </c>
      <c r="D8" s="199">
        <f>IF(Inputs!D26="","",Inputs!D26)</f>
        <v>845264</v>
      </c>
      <c r="E8" s="199">
        <f>IF(Inputs!E26="","",Inputs!E26)</f>
        <v>981731</v>
      </c>
      <c r="F8" s="199">
        <f>IF(Inputs!F26="","",Inputs!F26)</f>
        <v>959572</v>
      </c>
      <c r="G8" s="199">
        <f>IF(Inputs!G26="","",Inputs!G26)</f>
        <v>783542</v>
      </c>
      <c r="H8" s="199" t="str">
        <f>IF(Inputs!H26="","",Inputs!H26)</f>
        <v/>
      </c>
      <c r="I8" s="199" t="str">
        <f>IF(Inputs!I26="","",Inputs!I26)</f>
        <v/>
      </c>
      <c r="J8" s="199" t="str">
        <f>IF(Inputs!J26="","",Inputs!J26)</f>
        <v/>
      </c>
      <c r="K8" s="199" t="str">
        <f>IF(Inputs!K26="","",Inputs!K26)</f>
        <v/>
      </c>
      <c r="L8" s="199" t="str">
        <f>IF(Inputs!L26="","",Inputs!L26)</f>
        <v/>
      </c>
      <c r="M8" s="199" t="str">
        <f>IF(Inputs!M26="","",Inputs!M26)</f>
        <v/>
      </c>
      <c r="N8" s="87"/>
    </row>
    <row r="9" spans="1:14" ht="15.75" customHeight="1" x14ac:dyDescent="0.4">
      <c r="A9" s="4"/>
      <c r="B9" s="98" t="s">
        <v>102</v>
      </c>
      <c r="C9" s="151">
        <f t="shared" ref="C9:M9" si="2">IF(C6="","",(C6-C8))</f>
        <v>718258</v>
      </c>
      <c r="D9" s="151">
        <f t="shared" si="2"/>
        <v>601374</v>
      </c>
      <c r="E9" s="151">
        <f t="shared" si="2"/>
        <v>787426</v>
      </c>
      <c r="F9" s="151">
        <f t="shared" si="2"/>
        <v>742582</v>
      </c>
      <c r="G9" s="151">
        <f t="shared" si="2"/>
        <v>599860</v>
      </c>
      <c r="H9" s="151" t="str">
        <f t="shared" si="2"/>
        <v/>
      </c>
      <c r="I9" s="151" t="str">
        <f t="shared" si="2"/>
        <v/>
      </c>
      <c r="J9" s="151" t="str">
        <f t="shared" si="2"/>
        <v/>
      </c>
      <c r="K9" s="151" t="str">
        <f t="shared" si="2"/>
        <v/>
      </c>
      <c r="L9" s="151" t="str">
        <f t="shared" si="2"/>
        <v/>
      </c>
      <c r="M9" s="151" t="str">
        <f t="shared" si="2"/>
        <v/>
      </c>
      <c r="N9" s="87"/>
    </row>
    <row r="10" spans="1:14" ht="15.75" customHeight="1" x14ac:dyDescent="0.4">
      <c r="A10" s="4"/>
      <c r="B10" s="97" t="s">
        <v>103</v>
      </c>
      <c r="C10" s="199">
        <f>IF(Inputs!C27="","",Inputs!C27)</f>
        <v>613104</v>
      </c>
      <c r="D10" s="199">
        <f>IF(Inputs!D27="","",Inputs!D27)</f>
        <v>599182</v>
      </c>
      <c r="E10" s="199">
        <f>IF(Inputs!E27="","",Inputs!E27)</f>
        <v>705390</v>
      </c>
      <c r="F10" s="199">
        <f>IF(Inputs!F27="","",Inputs!F27)</f>
        <v>456610</v>
      </c>
      <c r="G10" s="199">
        <f>IF(Inputs!G27="","",Inputs!G27)</f>
        <v>396643</v>
      </c>
      <c r="H10" s="199" t="str">
        <f>IF(Inputs!H27="","",Inputs!H27)</f>
        <v/>
      </c>
      <c r="I10" s="199" t="str">
        <f>IF(Inputs!I27="","",Inputs!I27)</f>
        <v/>
      </c>
      <c r="J10" s="199" t="str">
        <f>IF(Inputs!J27="","",Inputs!J27)</f>
        <v/>
      </c>
      <c r="K10" s="199" t="str">
        <f>IF(Inputs!K27="","",Inputs!K27)</f>
        <v/>
      </c>
      <c r="L10" s="199" t="str">
        <f>IF(Inputs!L27="","",Inputs!L27)</f>
        <v/>
      </c>
      <c r="M10" s="199" t="str">
        <f>IF(Inputs!M27="","",Inputs!M27)</f>
        <v/>
      </c>
      <c r="N10" s="87"/>
    </row>
    <row r="11" spans="1:14" ht="15.75" customHeight="1" x14ac:dyDescent="0.4">
      <c r="A11" s="4"/>
      <c r="B11" s="97" t="s">
        <v>106</v>
      </c>
      <c r="C11" s="199" t="str">
        <f>IF(Inputs!C28="","",Inputs!C28)</f>
        <v/>
      </c>
      <c r="D11" s="199" t="str">
        <f>IF(Inputs!D28="","",Inputs!D28)</f>
        <v/>
      </c>
      <c r="E11" s="199" t="str">
        <f>IF(Inputs!E28="","",Inputs!E28)</f>
        <v/>
      </c>
      <c r="F11" s="199" t="str">
        <f>IF(Inputs!F28="","",Inputs!F28)</f>
        <v/>
      </c>
      <c r="G11" s="199" t="str">
        <f>IF(Inputs!G28="","",Inputs!G28)</f>
        <v/>
      </c>
      <c r="H11" s="199" t="str">
        <f>IF(Inputs!H28="","",Inputs!H28)</f>
        <v/>
      </c>
      <c r="I11" s="199" t="str">
        <f>IF(Inputs!I28="","",Inputs!I28)</f>
        <v/>
      </c>
      <c r="J11" s="199" t="str">
        <f>IF(Inputs!J28="","",Inputs!J28)</f>
        <v/>
      </c>
      <c r="K11" s="199" t="str">
        <f>IF(Inputs!K28="","",Inputs!K28)</f>
        <v/>
      </c>
      <c r="L11" s="199" t="str">
        <f>IF(Inputs!L28="","",Inputs!L28)</f>
        <v/>
      </c>
      <c r="M11" s="199" t="str">
        <f>IF(Inputs!M28="","",Inputs!M28)</f>
        <v/>
      </c>
      <c r="N11" s="87"/>
    </row>
    <row r="12" spans="1:14" ht="15.75" customHeight="1" x14ac:dyDescent="0.4">
      <c r="A12" s="4"/>
      <c r="B12" s="99" t="s">
        <v>240</v>
      </c>
      <c r="C12" s="199">
        <f>IF(Inputs!C30="","",MAX(Inputs!C30,0)/(1-Fin_Analysis!$I$84))</f>
        <v>2932</v>
      </c>
      <c r="D12" s="199">
        <f>IF(Inputs!D30="","",MAX(Inputs!D30,0)/(1-Fin_Analysis!$I$84))</f>
        <v>860</v>
      </c>
      <c r="E12" s="199" t="str">
        <f>IF(Inputs!E30="","",MAX(Inputs!E30,0)/(1-Fin_Analysis!$I$84))</f>
        <v/>
      </c>
      <c r="F12" s="199" t="str">
        <f>IF(Inputs!F30="","",MAX(Inputs!F30,0)/(1-Fin_Analysis!$I$84))</f>
        <v/>
      </c>
      <c r="G12" s="199" t="str">
        <f>IF(Inputs!G30="","",MAX(Inputs!G30,0)/(1-Fin_Analysis!$I$84))</f>
        <v/>
      </c>
      <c r="H12" s="199" t="str">
        <f>IF(Inputs!H30="","",MAX(Inputs!H30,0)/(1-Fin_Analysis!$I$84))</f>
        <v/>
      </c>
      <c r="I12" s="199" t="str">
        <f>IF(Inputs!I30="","",MAX(Inputs!I30,0)/(1-Fin_Analysis!$I$84))</f>
        <v/>
      </c>
      <c r="J12" s="199" t="str">
        <f>IF(Inputs!J30="","",MAX(Inputs!J30,0)/(1-Fin_Analysis!$I$84))</f>
        <v/>
      </c>
      <c r="K12" s="199" t="str">
        <f>IF(Inputs!K30="","",MAX(Inputs!K30,0)/(1-Fin_Analysis!$I$84))</f>
        <v/>
      </c>
      <c r="L12" s="199" t="str">
        <f>IF(Inputs!L30="","",MAX(Inputs!L30,0)/(1-Fin_Analysis!$I$84))</f>
        <v/>
      </c>
      <c r="M12" s="199" t="str">
        <f>IF(Inputs!M30="","",MAX(Inputs!M30,0)/(1-Fin_Analysis!$I$84))</f>
        <v/>
      </c>
      <c r="N12" s="87"/>
    </row>
    <row r="13" spans="1:14" ht="15.75" customHeight="1" x14ac:dyDescent="0.4">
      <c r="A13" s="4"/>
      <c r="B13" s="228" t="s">
        <v>241</v>
      </c>
      <c r="C13" s="229">
        <f t="shared" ref="C13:M13" si="3">IF(C14="","",C14/C6)</f>
        <v>6.3272436919134561E-2</v>
      </c>
      <c r="D13" s="229">
        <f t="shared" si="3"/>
        <v>9.2075557257586215E-4</v>
      </c>
      <c r="E13" s="229">
        <f t="shared" si="3"/>
        <v>4.6370107344910601E-2</v>
      </c>
      <c r="F13" s="229">
        <f t="shared" si="3"/>
        <v>0.16800595010792208</v>
      </c>
      <c r="G13" s="229">
        <f t="shared" si="3"/>
        <v>0.14689656368864581</v>
      </c>
      <c r="H13" s="229" t="str">
        <f t="shared" si="3"/>
        <v/>
      </c>
      <c r="I13" s="229" t="str">
        <f t="shared" si="3"/>
        <v/>
      </c>
      <c r="J13" s="229" t="str">
        <f t="shared" si="3"/>
        <v/>
      </c>
      <c r="K13" s="229" t="str">
        <f t="shared" si="3"/>
        <v/>
      </c>
      <c r="L13" s="229" t="str">
        <f t="shared" si="3"/>
        <v/>
      </c>
      <c r="M13" s="229" t="str">
        <f t="shared" si="3"/>
        <v/>
      </c>
      <c r="N13" s="87"/>
    </row>
    <row r="14" spans="1:14" ht="15.75" customHeight="1" x14ac:dyDescent="0.4">
      <c r="A14" s="4"/>
      <c r="B14" s="228" t="s">
        <v>233</v>
      </c>
      <c r="C14" s="230">
        <f>IF(C6="","",C9-C10-MAX(C11,0)-MAX(C12,0))</f>
        <v>102222</v>
      </c>
      <c r="D14" s="230">
        <f t="shared" ref="D14:M14" si="4">IF(D6="","",D9-D10-MAX(D11,0)-MAX(D12,0))</f>
        <v>1332</v>
      </c>
      <c r="E14" s="230">
        <f t="shared" si="4"/>
        <v>82036</v>
      </c>
      <c r="F14" s="230">
        <f t="shared" si="4"/>
        <v>285972</v>
      </c>
      <c r="G14" s="230">
        <f t="shared" si="4"/>
        <v>203217</v>
      </c>
      <c r="H14" s="230" t="str">
        <f t="shared" si="4"/>
        <v/>
      </c>
      <c r="I14" s="230" t="str">
        <f t="shared" si="4"/>
        <v/>
      </c>
      <c r="J14" s="230" t="str">
        <f t="shared" si="4"/>
        <v/>
      </c>
      <c r="K14" s="230" t="str">
        <f t="shared" si="4"/>
        <v/>
      </c>
      <c r="L14" s="230" t="str">
        <f t="shared" si="4"/>
        <v/>
      </c>
      <c r="M14" s="230" t="str">
        <f t="shared" si="4"/>
        <v/>
      </c>
      <c r="N14" s="87"/>
    </row>
    <row r="15" spans="1:14" ht="15.75" customHeight="1" x14ac:dyDescent="0.4">
      <c r="A15" s="4"/>
      <c r="B15" s="231" t="s">
        <v>242</v>
      </c>
      <c r="C15" s="232">
        <f>IF(D14="","",IF(ABS(C14+D14)=ABS(C14)+ABS(D14),IF(C14&lt;0,-1,1)*(C14-D14)/D14,"Turn"))</f>
        <v>75.743243243243242</v>
      </c>
      <c r="D15" s="232">
        <f t="shared" ref="D15:M15" si="5">IF(E14="","",IF(ABS(D14+E14)=ABS(D14)+ABS(E14),IF(D14&lt;0,-1,1)*(D14-E14)/E14,"Turn"))</f>
        <v>-0.98376322590082399</v>
      </c>
      <c r="E15" s="232">
        <f t="shared" si="5"/>
        <v>-0.71313275425566136</v>
      </c>
      <c r="F15" s="232">
        <f t="shared" si="5"/>
        <v>0.40722478926467764</v>
      </c>
      <c r="G15" s="232" t="str">
        <f t="shared" si="5"/>
        <v/>
      </c>
      <c r="H15" s="232" t="str">
        <f t="shared" si="5"/>
        <v/>
      </c>
      <c r="I15" s="232" t="str">
        <f t="shared" si="5"/>
        <v/>
      </c>
      <c r="J15" s="232" t="str">
        <f t="shared" si="5"/>
        <v/>
      </c>
      <c r="K15" s="232" t="str">
        <f t="shared" si="5"/>
        <v/>
      </c>
      <c r="L15" s="232" t="str">
        <f t="shared" si="5"/>
        <v/>
      </c>
      <c r="M15" s="232" t="str">
        <f t="shared" si="5"/>
        <v/>
      </c>
      <c r="N15" s="87"/>
    </row>
    <row r="16" spans="1:14" ht="15.75" customHeight="1" x14ac:dyDescent="0.4">
      <c r="A16" s="4"/>
      <c r="B16" s="97" t="s">
        <v>109</v>
      </c>
      <c r="C16" s="199">
        <f>IF(Inputs!C31="","",Inputs!C31)</f>
        <v>-169280</v>
      </c>
      <c r="D16" s="199">
        <f>IF(Inputs!D31="","",Inputs!D31)</f>
        <v>-50846</v>
      </c>
      <c r="E16" s="199" t="str">
        <f>IF(Inputs!E31="","",Inputs!E31)</f>
        <v/>
      </c>
      <c r="F16" s="199" t="str">
        <f>IF(Inputs!F31="","",Inputs!F31)</f>
        <v/>
      </c>
      <c r="G16" s="199" t="str">
        <f>IF(Inputs!G31="","",Inputs!G31)</f>
        <v/>
      </c>
      <c r="H16" s="199" t="str">
        <f>IF(Inputs!H31="","",Inputs!H31)</f>
        <v/>
      </c>
      <c r="I16" s="199" t="str">
        <f>IF(Inputs!I31="","",Inputs!I31)</f>
        <v/>
      </c>
      <c r="J16" s="199" t="str">
        <f>IF(Inputs!J31="","",Inputs!J31)</f>
        <v/>
      </c>
      <c r="K16" s="199" t="str">
        <f>IF(Inputs!K31="","",Inputs!K31)</f>
        <v/>
      </c>
      <c r="L16" s="199" t="str">
        <f>IF(Inputs!L31="","",Inputs!L31)</f>
        <v/>
      </c>
      <c r="M16" s="199" t="str">
        <f>IF(Inputs!M31="","",Inputs!M31)</f>
        <v/>
      </c>
      <c r="N16" s="87"/>
    </row>
    <row r="17" spans="1:14" ht="15.75" customHeight="1" x14ac:dyDescent="0.4">
      <c r="A17" s="4"/>
      <c r="B17" s="97" t="s">
        <v>256</v>
      </c>
      <c r="C17" s="199">
        <f>IF(Inputs!C29="","",Inputs!C29)</f>
        <v>1003</v>
      </c>
      <c r="D17" s="199">
        <f>IF(Inputs!D29="","",Inputs!D29)</f>
        <v>863</v>
      </c>
      <c r="E17" s="199">
        <f>IF(Inputs!E29="","",Inputs!E29)</f>
        <v>1613</v>
      </c>
      <c r="F17" s="199">
        <f>IF(Inputs!F29="","",Inputs!F29)</f>
        <v>2645</v>
      </c>
      <c r="G17" s="199">
        <f>IF(Inputs!G29="","",Inputs!G29)</f>
        <v>299</v>
      </c>
      <c r="H17" s="199" t="str">
        <f>IF(Inputs!H29="","",Inputs!H29)</f>
        <v/>
      </c>
      <c r="I17" s="199" t="str">
        <f>IF(Inputs!I29="","",Inputs!I29)</f>
        <v/>
      </c>
      <c r="J17" s="199" t="str">
        <f>IF(Inputs!J29="","",Inputs!J29)</f>
        <v/>
      </c>
      <c r="K17" s="199" t="str">
        <f>IF(Inputs!K29="","",Inputs!K29)</f>
        <v/>
      </c>
      <c r="L17" s="199" t="str">
        <f>IF(Inputs!L29="","",Inputs!L29)</f>
        <v/>
      </c>
      <c r="M17" s="199" t="str">
        <f>IF(Inputs!M29="","",Inputs!M29)</f>
        <v/>
      </c>
      <c r="N17" s="87"/>
    </row>
    <row r="18" spans="1:14" ht="15.75" customHeight="1" x14ac:dyDescent="0.4">
      <c r="A18" s="4"/>
      <c r="B18" s="94" t="s">
        <v>98</v>
      </c>
      <c r="C18" s="152">
        <f t="shared" ref="C18:M18" si="6">IF(OR(C6="",C19=""),"",C19/C6)</f>
        <v>2.2266856897037297E-2</v>
      </c>
      <c r="D18" s="152">
        <f t="shared" si="6"/>
        <v>2.2193527337177648E-2</v>
      </c>
      <c r="E18" s="152" t="str">
        <f t="shared" si="6"/>
        <v/>
      </c>
      <c r="F18" s="152" t="str">
        <f t="shared" si="6"/>
        <v/>
      </c>
      <c r="G18" s="152" t="str">
        <f t="shared" si="6"/>
        <v/>
      </c>
      <c r="H18" s="152" t="str">
        <f t="shared" si="6"/>
        <v/>
      </c>
      <c r="I18" s="152" t="str">
        <f t="shared" si="6"/>
        <v/>
      </c>
      <c r="J18" s="152" t="str">
        <f t="shared" si="6"/>
        <v/>
      </c>
      <c r="K18" s="152" t="str">
        <f t="shared" si="6"/>
        <v/>
      </c>
      <c r="L18" s="152" t="str">
        <f t="shared" si="6"/>
        <v/>
      </c>
      <c r="M18" s="152" t="str">
        <f t="shared" si="6"/>
        <v/>
      </c>
      <c r="N18" s="87"/>
    </row>
    <row r="19" spans="1:14" ht="15.75" customHeight="1" x14ac:dyDescent="0.4">
      <c r="A19" s="4"/>
      <c r="B19" s="97" t="s">
        <v>104</v>
      </c>
      <c r="C19" s="199">
        <f>IF(Inputs!C32="","",Inputs!C32)</f>
        <v>35974</v>
      </c>
      <c r="D19" s="199">
        <f>IF(Inputs!D32="","",Inputs!D32)</f>
        <v>32106</v>
      </c>
      <c r="E19" s="199" t="str">
        <f>IF(Inputs!E32="","",Inputs!E32)</f>
        <v/>
      </c>
      <c r="F19" s="199" t="str">
        <f>IF(Inputs!F32="","",Inputs!F32)</f>
        <v/>
      </c>
      <c r="G19" s="199" t="str">
        <f>IF(Inputs!G32="","",Inputs!G32)</f>
        <v/>
      </c>
      <c r="H19" s="199" t="str">
        <f>IF(Inputs!H32="","",Inputs!H32)</f>
        <v/>
      </c>
      <c r="I19" s="199" t="str">
        <f>IF(Inputs!I32="","",Inputs!I32)</f>
        <v/>
      </c>
      <c r="J19" s="199" t="str">
        <f>IF(Inputs!J32="","",Inputs!J32)</f>
        <v/>
      </c>
      <c r="K19" s="199" t="str">
        <f>IF(Inputs!K32="","",Inputs!K32)</f>
        <v/>
      </c>
      <c r="L19" s="199" t="str">
        <f>IF(Inputs!L32="","",Inputs!L32)</f>
        <v/>
      </c>
      <c r="M19" s="199" t="str">
        <f>IF(Inputs!M32="","",Inputs!M32)</f>
        <v/>
      </c>
      <c r="N19" s="87"/>
    </row>
    <row r="20" spans="1:14" ht="15.75" customHeight="1" x14ac:dyDescent="0.4">
      <c r="A20" s="4"/>
      <c r="B20" s="97" t="s">
        <v>235</v>
      </c>
      <c r="C20" s="152">
        <f t="shared" ref="C20:M20" si="7">IF(C6="","",MAX(C21,0)/C6)</f>
        <v>9.4776814590380575E-3</v>
      </c>
      <c r="D20" s="152">
        <f t="shared" si="7"/>
        <v>8.0185920734834829E-3</v>
      </c>
      <c r="E20" s="152">
        <f t="shared" si="7"/>
        <v>0</v>
      </c>
      <c r="F20" s="152">
        <f t="shared" si="7"/>
        <v>0</v>
      </c>
      <c r="G20" s="152">
        <f t="shared" si="7"/>
        <v>0</v>
      </c>
      <c r="H20" s="152" t="str">
        <f t="shared" si="7"/>
        <v/>
      </c>
      <c r="I20" s="152" t="str">
        <f t="shared" si="7"/>
        <v/>
      </c>
      <c r="J20" s="152" t="str">
        <f t="shared" si="7"/>
        <v/>
      </c>
      <c r="K20" s="152" t="str">
        <f t="shared" si="7"/>
        <v/>
      </c>
      <c r="L20" s="152" t="str">
        <f t="shared" si="7"/>
        <v/>
      </c>
      <c r="M20" s="152" t="str">
        <f t="shared" si="7"/>
        <v/>
      </c>
      <c r="N20" s="87"/>
    </row>
    <row r="21" spans="1:14" ht="15.75" customHeight="1" x14ac:dyDescent="0.4">
      <c r="A21" s="4"/>
      <c r="B21" s="97" t="s">
        <v>107</v>
      </c>
      <c r="C21" s="199">
        <f>IF(Inputs!C33="","",Inputs!C33)</f>
        <v>15312</v>
      </c>
      <c r="D21" s="199">
        <f>IF(Inputs!D33="","",Inputs!D33)</f>
        <v>11600</v>
      </c>
      <c r="E21" s="199" t="str">
        <f>IF(Inputs!E33="","",Inputs!E33)</f>
        <v/>
      </c>
      <c r="F21" s="199" t="str">
        <f>IF(Inputs!F33="","",Inputs!F33)</f>
        <v/>
      </c>
      <c r="G21" s="199" t="str">
        <f>IF(Inputs!G33="","",Inputs!G33)</f>
        <v/>
      </c>
      <c r="H21" s="199" t="str">
        <f>IF(Inputs!H33="","",Inputs!H33)</f>
        <v/>
      </c>
      <c r="I21" s="199" t="str">
        <f>IF(Inputs!I33="","",Inputs!I33)</f>
        <v/>
      </c>
      <c r="J21" s="199" t="str">
        <f>IF(Inputs!J33="","",Inputs!J33)</f>
        <v/>
      </c>
      <c r="K21" s="199" t="str">
        <f>IF(Inputs!K33="","",Inputs!K33)</f>
        <v/>
      </c>
      <c r="L21" s="199" t="str">
        <f>IF(Inputs!L33="","",Inputs!L33)</f>
        <v/>
      </c>
      <c r="M21" s="199" t="str">
        <f>IF(Inputs!M33="","",Inputs!M33)</f>
        <v/>
      </c>
      <c r="N21" s="87"/>
    </row>
    <row r="22" spans="1:14" ht="15.75" customHeight="1" x14ac:dyDescent="0.4">
      <c r="A22" s="4"/>
      <c r="B22" s="98" t="s">
        <v>111</v>
      </c>
      <c r="C22" s="161">
        <f>IF(C6="","",C14-MAX(C16,0)-MAX(C17,0)-ABS(MAX(C21,0)-MAX(C19,0)))</f>
        <v>80557</v>
      </c>
      <c r="D22" s="161">
        <f t="shared" ref="D22:M22" si="8">IF(D6="","",D14-MAX(D16,0)-MAX(D17,0)-ABS(MAX(D21,0)-MAX(D19,0)))</f>
        <v>-20037</v>
      </c>
      <c r="E22" s="161">
        <f t="shared" si="8"/>
        <v>80423</v>
      </c>
      <c r="F22" s="161">
        <f t="shared" si="8"/>
        <v>283327</v>
      </c>
      <c r="G22" s="161">
        <f t="shared" si="8"/>
        <v>202918</v>
      </c>
      <c r="H22" s="161" t="str">
        <f t="shared" si="8"/>
        <v/>
      </c>
      <c r="I22" s="161" t="str">
        <f t="shared" si="8"/>
        <v/>
      </c>
      <c r="J22" s="161" t="str">
        <f t="shared" si="8"/>
        <v/>
      </c>
      <c r="K22" s="161" t="str">
        <f t="shared" si="8"/>
        <v/>
      </c>
      <c r="L22" s="161" t="str">
        <f t="shared" si="8"/>
        <v/>
      </c>
      <c r="M22" s="161" t="str">
        <f t="shared" si="8"/>
        <v/>
      </c>
      <c r="N22" s="87"/>
    </row>
    <row r="23" spans="1:14" ht="15.75" customHeight="1" x14ac:dyDescent="0.4">
      <c r="A23" s="4"/>
      <c r="B23" s="100" t="s">
        <v>112</v>
      </c>
      <c r="C23" s="153">
        <f t="shared" ref="C23:M23" si="9">IF(C6="","",C24/C6)</f>
        <v>3.7396825298576054E-2</v>
      </c>
      <c r="D23" s="153">
        <f t="shared" si="9"/>
        <v>-1.0388051468300985E-2</v>
      </c>
      <c r="E23" s="153">
        <f t="shared" si="9"/>
        <v>3.4093780258055109E-2</v>
      </c>
      <c r="F23" s="153">
        <f t="shared" si="9"/>
        <v>0.12483902749104958</v>
      </c>
      <c r="G23" s="153">
        <f t="shared" si="9"/>
        <v>0.11001032237917828</v>
      </c>
      <c r="H23" s="153" t="str">
        <f t="shared" si="9"/>
        <v/>
      </c>
      <c r="I23" s="153" t="str">
        <f t="shared" si="9"/>
        <v/>
      </c>
      <c r="J23" s="153" t="str">
        <f t="shared" si="9"/>
        <v/>
      </c>
      <c r="K23" s="153" t="str">
        <f t="shared" si="9"/>
        <v/>
      </c>
      <c r="L23" s="153" t="str">
        <f t="shared" si="9"/>
        <v/>
      </c>
      <c r="M23" s="153" t="str">
        <f t="shared" si="9"/>
        <v/>
      </c>
      <c r="N23" s="87"/>
    </row>
    <row r="24" spans="1:14" ht="15.75" customHeight="1" x14ac:dyDescent="0.4">
      <c r="A24" s="4"/>
      <c r="B24" s="101" t="s">
        <v>113</v>
      </c>
      <c r="C24" s="154">
        <f>IF(C6="","",C22*(1-Fin_Analysis!$I$84))</f>
        <v>60417.75</v>
      </c>
      <c r="D24" s="77">
        <f>IF(D6="","",D22*(1-Fin_Analysis!$I$84))</f>
        <v>-15027.75</v>
      </c>
      <c r="E24" s="77">
        <f>IF(E6="","",E22*(1-Fin_Analysis!$I$84))</f>
        <v>60317.25</v>
      </c>
      <c r="F24" s="77">
        <f>IF(F6="","",F22*(1-Fin_Analysis!$I$84))</f>
        <v>212495.25</v>
      </c>
      <c r="G24" s="77">
        <f>IF(G6="","",G22*(1-Fin_Analysis!$I$84))</f>
        <v>152188.5</v>
      </c>
      <c r="H24" s="77" t="str">
        <f>IF(H6="","",H22*(1-Fin_Analysis!$I$84))</f>
        <v/>
      </c>
      <c r="I24" s="77" t="str">
        <f>IF(I6="","",I22*(1-Fin_Analysis!$I$84))</f>
        <v/>
      </c>
      <c r="J24" s="77" t="str">
        <f>IF(J6="","",J22*(1-Fin_Analysis!$I$84))</f>
        <v/>
      </c>
      <c r="K24" s="77" t="str">
        <f>IF(K6="","",K22*(1-Fin_Analysis!$I$84))</f>
        <v/>
      </c>
      <c r="L24" s="77" t="str">
        <f>IF(L6="","",L22*(1-Fin_Analysis!$I$84))</f>
        <v/>
      </c>
      <c r="M24" s="77" t="str">
        <f>IF(M6="","",M22*(1-Fin_Analysis!$I$84))</f>
        <v/>
      </c>
      <c r="N24" s="87"/>
    </row>
    <row r="25" spans="1:14" ht="15.75" customHeight="1" thickBot="1" x14ac:dyDescent="0.45">
      <c r="A25" s="4"/>
      <c r="B25" s="234" t="s">
        <v>128</v>
      </c>
      <c r="C25" s="233" t="str">
        <f>IF(D24="","",IF(ABS(C24+D24)=ABS(C24)+ABS(D24),IF(C24&lt;0,-1,1)*(C24-D24)/D24,"Turn"))</f>
        <v>Turn</v>
      </c>
      <c r="D25" s="233" t="str">
        <f t="shared" ref="D25:M25" si="10">IF(E24="","",IF(ABS(D24+E24)=ABS(D24)+ABS(E24),IF(D24&lt;0,-1,1)*(D24-E24)/E24,"Turn"))</f>
        <v>Turn</v>
      </c>
      <c r="E25" s="233">
        <f t="shared" si="10"/>
        <v>-0.71614777271491947</v>
      </c>
      <c r="F25" s="233">
        <f t="shared" si="10"/>
        <v>0.3962635153116037</v>
      </c>
      <c r="G25" s="233" t="str">
        <f t="shared" si="10"/>
        <v/>
      </c>
      <c r="H25" s="233" t="str">
        <f t="shared" si="10"/>
        <v/>
      </c>
      <c r="I25" s="233" t="str">
        <f t="shared" si="10"/>
        <v/>
      </c>
      <c r="J25" s="233" t="str">
        <f t="shared" si="10"/>
        <v/>
      </c>
      <c r="K25" s="233" t="str">
        <f t="shared" si="10"/>
        <v/>
      </c>
      <c r="L25" s="233" t="str">
        <f t="shared" si="10"/>
        <v/>
      </c>
      <c r="M25" s="233" t="str">
        <f t="shared" si="10"/>
        <v/>
      </c>
      <c r="N25" s="87"/>
    </row>
    <row r="26" spans="1:14" ht="15.75" customHeight="1" thickTop="1" x14ac:dyDescent="0.4">
      <c r="A26" s="16"/>
      <c r="B26" s="114" t="s">
        <v>134</v>
      </c>
      <c r="C26" s="48">
        <f>Fin_Analysis!D9</f>
        <v>45473</v>
      </c>
      <c r="D26" s="49">
        <f>D5</f>
        <v>44926</v>
      </c>
      <c r="E26" s="49">
        <f t="shared" ref="E26" si="11">EOMONTH(EDATE(D26,-12),0)</f>
        <v>44561</v>
      </c>
      <c r="F26" s="49">
        <f t="shared" ref="F26" si="12">EOMONTH(EDATE(E26,-12),0)</f>
        <v>44196</v>
      </c>
      <c r="G26" s="49">
        <f t="shared" ref="G26" si="13">EOMONTH(EDATE(F26,-12),0)</f>
        <v>43830</v>
      </c>
      <c r="H26" s="49">
        <f t="shared" ref="H26" si="14">EOMONTH(EDATE(G26,-12),0)</f>
        <v>43465</v>
      </c>
      <c r="I26" s="49">
        <f t="shared" ref="I26" si="15">EOMONTH(EDATE(H26,-12),0)</f>
        <v>43100</v>
      </c>
      <c r="J26" s="49">
        <f t="shared" ref="J26" si="16">EOMONTH(EDATE(I26,-12),0)</f>
        <v>42735</v>
      </c>
      <c r="K26" s="49">
        <f t="shared" ref="K26" si="17">EOMONTH(EDATE(J26,-12),0)</f>
        <v>42369</v>
      </c>
      <c r="L26" s="49">
        <f t="shared" ref="L26" si="18">EOMONTH(EDATE(K26,-12),0)</f>
        <v>42004</v>
      </c>
      <c r="M26" s="49">
        <f t="shared" ref="M26" si="19">EOMONTH(EDATE(L26,-12),0)</f>
        <v>41639</v>
      </c>
      <c r="N26" s="87"/>
    </row>
    <row r="27" spans="1:14" ht="15.75" customHeight="1" x14ac:dyDescent="0.4">
      <c r="A27" s="4"/>
      <c r="B27" s="94" t="s">
        <v>13</v>
      </c>
      <c r="C27" s="65">
        <f>IF(C36="","",C36+C31+C32)</f>
        <v>3670169</v>
      </c>
      <c r="D27" s="65">
        <f t="shared" ref="D27:M27" si="20">IF(D36="","",D36+D31+D32)</f>
        <v>3578159</v>
      </c>
      <c r="E27" s="65">
        <f t="shared" si="20"/>
        <v>3474535</v>
      </c>
      <c r="F27" s="65">
        <f t="shared" si="20"/>
        <v>1654558</v>
      </c>
      <c r="G27" s="65">
        <f t="shared" si="20"/>
        <v>1242193</v>
      </c>
      <c r="H27" s="65" t="str">
        <f t="shared" si="20"/>
        <v/>
      </c>
      <c r="I27" s="65" t="str">
        <f t="shared" si="20"/>
        <v/>
      </c>
      <c r="J27" s="65" t="str">
        <f t="shared" si="20"/>
        <v/>
      </c>
      <c r="K27" s="65" t="str">
        <f t="shared" si="20"/>
        <v/>
      </c>
      <c r="L27" s="65" t="str">
        <f t="shared" si="20"/>
        <v/>
      </c>
      <c r="M27" s="65" t="str">
        <f t="shared" si="20"/>
        <v/>
      </c>
      <c r="N27" s="87"/>
    </row>
    <row r="28" spans="1:14" ht="15.75" customHeight="1" x14ac:dyDescent="0.4">
      <c r="A28" s="4"/>
      <c r="B28" s="94" t="s">
        <v>14</v>
      </c>
      <c r="C28" s="65">
        <f>Fin_Analysis!C28</f>
        <v>2983374</v>
      </c>
      <c r="D28" s="199" t="str">
        <f>IF(Inputs!D34="","",Inputs!D34)</f>
        <v/>
      </c>
      <c r="E28" s="199" t="str">
        <f>IF(Inputs!E34="","",Inputs!E34)</f>
        <v/>
      </c>
      <c r="F28" s="199" t="str">
        <f>IF(Inputs!F34="","",Inputs!F34)</f>
        <v/>
      </c>
      <c r="G28" s="199" t="str">
        <f>IF(Inputs!G34="","",Inputs!G34)</f>
        <v/>
      </c>
      <c r="H28" s="199" t="str">
        <f>IF(Inputs!H34="","",Inputs!H34)</f>
        <v/>
      </c>
      <c r="I28" s="199" t="str">
        <f>IF(Inputs!I34="","",Inputs!I34)</f>
        <v/>
      </c>
      <c r="J28" s="199" t="str">
        <f>IF(Inputs!J34="","",Inputs!J34)</f>
        <v/>
      </c>
      <c r="K28" s="199" t="str">
        <f>IF(Inputs!K34="","",Inputs!K34)</f>
        <v/>
      </c>
      <c r="L28" s="199" t="str">
        <f>IF(Inputs!L34="","",Inputs!L34)</f>
        <v/>
      </c>
      <c r="M28" s="199" t="str">
        <f>IF(Inputs!M34="","",Inputs!M34)</f>
        <v/>
      </c>
      <c r="N28" s="87"/>
    </row>
    <row r="29" spans="1:14" ht="15.75" customHeight="1" x14ac:dyDescent="0.4">
      <c r="A29" s="4"/>
      <c r="B29" s="94" t="s">
        <v>116</v>
      </c>
      <c r="C29" s="65">
        <f>Fin_Analysis!C13</f>
        <v>180994</v>
      </c>
      <c r="D29" s="199" t="str">
        <f>IF(Inputs!D35="","",Inputs!D35)</f>
        <v/>
      </c>
      <c r="E29" s="199" t="str">
        <f>IF(Inputs!E35="","",Inputs!E35)</f>
        <v/>
      </c>
      <c r="F29" s="199" t="str">
        <f>IF(Inputs!F35="","",Inputs!F35)</f>
        <v/>
      </c>
      <c r="G29" s="199" t="str">
        <f>IF(Inputs!G35="","",Inputs!G35)</f>
        <v/>
      </c>
      <c r="H29" s="199" t="str">
        <f>IF(Inputs!H35="","",Inputs!H35)</f>
        <v/>
      </c>
      <c r="I29" s="199" t="str">
        <f>IF(Inputs!I35="","",Inputs!I35)</f>
        <v/>
      </c>
      <c r="J29" s="199" t="str">
        <f>IF(Inputs!J35="","",Inputs!J35)</f>
        <v/>
      </c>
      <c r="K29" s="199" t="str">
        <f>IF(Inputs!K35="","",Inputs!K35)</f>
        <v/>
      </c>
      <c r="L29" s="199" t="str">
        <f>IF(Inputs!L35="","",Inputs!L35)</f>
        <v/>
      </c>
      <c r="M29" s="199" t="str">
        <f>IF(Inputs!M35="","",Inputs!M35)</f>
        <v/>
      </c>
      <c r="N29" s="87"/>
    </row>
    <row r="30" spans="1:14" ht="15.75" customHeight="1" x14ac:dyDescent="0.4">
      <c r="A30" s="4"/>
      <c r="B30" s="94" t="s">
        <v>148</v>
      </c>
      <c r="C30" s="65">
        <f>Fin_Analysis!C18</f>
        <v>158110</v>
      </c>
      <c r="D30" s="199" t="str">
        <f>IF(Inputs!D36="","",Inputs!D36)</f>
        <v/>
      </c>
      <c r="E30" s="199" t="str">
        <f>IF(Inputs!E36="","",Inputs!E36)</f>
        <v/>
      </c>
      <c r="F30" s="199" t="str">
        <f>IF(Inputs!F36="","",Inputs!F36)</f>
        <v/>
      </c>
      <c r="G30" s="199" t="str">
        <f>IF(Inputs!G36="","",Inputs!G36)</f>
        <v/>
      </c>
      <c r="H30" s="199" t="str">
        <f>IF(Inputs!H36="","",Inputs!H36)</f>
        <v/>
      </c>
      <c r="I30" s="199" t="str">
        <f>IF(Inputs!I36="","",Inputs!I36)</f>
        <v/>
      </c>
      <c r="J30" s="199" t="str">
        <f>IF(Inputs!J36="","",Inputs!J36)</f>
        <v/>
      </c>
      <c r="K30" s="199" t="str">
        <f>IF(Inputs!K36="","",Inputs!K36)</f>
        <v/>
      </c>
      <c r="L30" s="199" t="str">
        <f>IF(Inputs!L36="","",Inputs!L36)</f>
        <v/>
      </c>
      <c r="M30" s="199" t="str">
        <f>IF(Inputs!M36="","",Inputs!M36)</f>
        <v/>
      </c>
      <c r="N30" s="87"/>
    </row>
    <row r="31" spans="1:14" ht="15.75" customHeight="1" x14ac:dyDescent="0.4">
      <c r="A31" s="4"/>
      <c r="B31" s="94" t="s">
        <v>15</v>
      </c>
      <c r="C31" s="65">
        <f>Fin_Analysis!I28</f>
        <v>611931</v>
      </c>
      <c r="D31" s="199">
        <f>IF(Inputs!D37="","",Inputs!D37)</f>
        <v>734909</v>
      </c>
      <c r="E31" s="199">
        <f>IF(Inputs!E37="","",Inputs!E37)</f>
        <v>677999</v>
      </c>
      <c r="F31" s="199">
        <f>IF(Inputs!F37="","",Inputs!F37)</f>
        <v>1352795</v>
      </c>
      <c r="G31" s="199">
        <f>IF(Inputs!G37="","",Inputs!G37)</f>
        <v>1205068</v>
      </c>
      <c r="H31" s="199" t="str">
        <f>IF(Inputs!H37="","",Inputs!H37)</f>
        <v/>
      </c>
      <c r="I31" s="199" t="str">
        <f>IF(Inputs!I37="","",Inputs!I37)</f>
        <v/>
      </c>
      <c r="J31" s="199" t="str">
        <f>IF(Inputs!J37="","",Inputs!J37)</f>
        <v/>
      </c>
      <c r="K31" s="199" t="str">
        <f>IF(Inputs!K37="","",Inputs!K37)</f>
        <v/>
      </c>
      <c r="L31" s="199" t="str">
        <f>IF(Inputs!L37="","",Inputs!L37)</f>
        <v/>
      </c>
      <c r="M31" s="199" t="str">
        <f>IF(Inputs!M37="","",Inputs!M37)</f>
        <v/>
      </c>
      <c r="N31" s="87"/>
    </row>
    <row r="32" spans="1:14" ht="15.75" customHeight="1" x14ac:dyDescent="0.4">
      <c r="A32" s="4"/>
      <c r="B32" s="94" t="s">
        <v>115</v>
      </c>
      <c r="C32" s="65">
        <f>Fin_Analysis!I48</f>
        <v>30946</v>
      </c>
      <c r="D32" s="199">
        <f>IF(Inputs!D38="","",Inputs!D38)</f>
        <v>18682</v>
      </c>
      <c r="E32" s="199">
        <f>IF(Inputs!E38="","",Inputs!E38)</f>
        <v>61277</v>
      </c>
      <c r="F32" s="199">
        <f>IF(Inputs!F38="","",Inputs!F38)</f>
        <v>51229</v>
      </c>
      <c r="G32" s="199">
        <f>IF(Inputs!G38="","",Inputs!G38)</f>
        <v>23195</v>
      </c>
      <c r="H32" s="199" t="str">
        <f>IF(Inputs!H38="","",Inputs!H38)</f>
        <v/>
      </c>
      <c r="I32" s="199" t="str">
        <f>IF(Inputs!I38="","",Inputs!I38)</f>
        <v/>
      </c>
      <c r="J32" s="199" t="str">
        <f>IF(Inputs!J38="","",Inputs!J38)</f>
        <v/>
      </c>
      <c r="K32" s="199" t="str">
        <f>IF(Inputs!K38="","",Inputs!K38)</f>
        <v/>
      </c>
      <c r="L32" s="199" t="str">
        <f>IF(Inputs!L38="","",Inputs!L38)</f>
        <v/>
      </c>
      <c r="M32" s="199" t="str">
        <f>IF(Inputs!M38="","",Inputs!M38)</f>
        <v/>
      </c>
      <c r="N32" s="87"/>
    </row>
    <row r="33" spans="1:14" ht="15.5" customHeight="1" x14ac:dyDescent="0.4">
      <c r="A33" s="4"/>
      <c r="B33" s="94" t="s">
        <v>16</v>
      </c>
      <c r="C33" s="65">
        <f>Fin_Analysis!I15</f>
        <v>13416</v>
      </c>
      <c r="D33" s="199">
        <f>IF(Inputs!D39="","",Inputs!D39)</f>
        <v>6202</v>
      </c>
      <c r="E33" s="199">
        <f>IF(Inputs!E39="","",Inputs!E39)</f>
        <v>5517</v>
      </c>
      <c r="F33" s="199">
        <f>IF(Inputs!F39="","",Inputs!F39)</f>
        <v>301783</v>
      </c>
      <c r="G33" s="199">
        <f>IF(Inputs!G39="","",Inputs!G39)</f>
        <v>3225</v>
      </c>
      <c r="H33" s="199" t="str">
        <f>IF(Inputs!H39="","",Inputs!H39)</f>
        <v/>
      </c>
      <c r="I33" s="199" t="str">
        <f>IF(Inputs!I39="","",Inputs!I39)</f>
        <v/>
      </c>
      <c r="J33" s="199" t="str">
        <f>IF(Inputs!J39="","",Inputs!J39)</f>
        <v/>
      </c>
      <c r="K33" s="199" t="str">
        <f>IF(Inputs!K39="","",Inputs!K39)</f>
        <v/>
      </c>
      <c r="L33" s="199" t="str">
        <f>IF(Inputs!L39="","",Inputs!L39)</f>
        <v/>
      </c>
      <c r="M33" s="199" t="str">
        <f>IF(Inputs!M39="","",Inputs!M39)</f>
        <v/>
      </c>
      <c r="N33" s="87"/>
    </row>
    <row r="34" spans="1:14" ht="15.75" customHeight="1" x14ac:dyDescent="0.4">
      <c r="A34" s="4"/>
      <c r="B34" s="94" t="s">
        <v>17</v>
      </c>
      <c r="C34" s="65">
        <f>Fin_Analysis!I34</f>
        <v>20583</v>
      </c>
      <c r="D34" s="199">
        <f>IF(Inputs!D40="","",Inputs!D40)</f>
        <v>10412</v>
      </c>
      <c r="E34" s="199">
        <f>IF(Inputs!E40="","",Inputs!E40)</f>
        <v>9392</v>
      </c>
      <c r="F34" s="199">
        <f>IF(Inputs!F40="","",Inputs!F40)</f>
        <v>5096</v>
      </c>
      <c r="G34" s="199">
        <f>IF(Inputs!G40="","",Inputs!G40)</f>
        <v>6880</v>
      </c>
      <c r="H34" s="199" t="str">
        <f>IF(Inputs!H40="","",Inputs!H40)</f>
        <v/>
      </c>
      <c r="I34" s="199" t="str">
        <f>IF(Inputs!I40="","",Inputs!I40)</f>
        <v/>
      </c>
      <c r="J34" s="199" t="str">
        <f>IF(Inputs!J40="","",Inputs!J40)</f>
        <v/>
      </c>
      <c r="K34" s="199" t="str">
        <f>IF(Inputs!K40="","",Inputs!K40)</f>
        <v/>
      </c>
      <c r="L34" s="199" t="str">
        <f>IF(Inputs!L40="","",Inputs!L40)</f>
        <v/>
      </c>
      <c r="M34" s="199" t="str">
        <f>IF(Inputs!M40="","",Inputs!M40)</f>
        <v/>
      </c>
      <c r="N34" s="87"/>
    </row>
    <row r="35" spans="1:14" ht="15.75" customHeight="1" x14ac:dyDescent="0.4">
      <c r="A35" s="4"/>
      <c r="B35" s="94" t="s">
        <v>18</v>
      </c>
      <c r="C35" s="77">
        <f t="shared" ref="C35" si="21">IF(OR(C33="",C34=""),"",C33+C34)</f>
        <v>33999</v>
      </c>
      <c r="D35" s="77">
        <f t="shared" ref="D35" si="22">IF(OR(D33="",D34=""),"",D33+D34)</f>
        <v>16614</v>
      </c>
      <c r="E35" s="77">
        <f t="shared" ref="E35" si="23">IF(OR(E33="",E34=""),"",E33+E34)</f>
        <v>14909</v>
      </c>
      <c r="F35" s="77">
        <f t="shared" ref="F35" si="24">IF(OR(F33="",F34=""),"",F33+F34)</f>
        <v>306879</v>
      </c>
      <c r="G35" s="77">
        <f t="shared" ref="G35" si="25">IF(OR(G33="",G34=""),"",G33+G34)</f>
        <v>10105</v>
      </c>
      <c r="H35" s="77" t="str">
        <f t="shared" ref="H35" si="26">IF(OR(H33="",H34=""),"",H33+H34)</f>
        <v/>
      </c>
      <c r="I35" s="77" t="str">
        <f t="shared" ref="I35" si="27">IF(OR(I33="",I34=""),"",I33+I34)</f>
        <v/>
      </c>
      <c r="J35" s="77" t="str">
        <f t="shared" ref="J35" si="28">IF(OR(J33="",J34=""),"",J33+J34)</f>
        <v/>
      </c>
      <c r="K35" s="77" t="str">
        <f t="shared" ref="K35" si="29">IF(OR(K33="",K34=""),"",K33+K34)</f>
        <v/>
      </c>
      <c r="L35" s="77" t="str">
        <f t="shared" ref="L35" si="30">IF(OR(L33="",L34=""),"",L33+L34)</f>
        <v/>
      </c>
      <c r="M35" s="77" t="str">
        <f t="shared" ref="M35" si="31">IF(OR(M33="",M34=""),"",M33+M34)</f>
        <v/>
      </c>
      <c r="N35" s="87"/>
    </row>
    <row r="36" spans="1:14" ht="15.75" customHeight="1" x14ac:dyDescent="0.4">
      <c r="A36" s="4"/>
      <c r="B36" s="94" t="s">
        <v>137</v>
      </c>
      <c r="C36" s="65">
        <f>Fin_Analysis!D3</f>
        <v>3027292</v>
      </c>
      <c r="D36" s="199">
        <f>IF(Inputs!D41="","",Inputs!D41)</f>
        <v>2824568</v>
      </c>
      <c r="E36" s="199">
        <f>IF(Inputs!E41="","",Inputs!E41)</f>
        <v>2735259</v>
      </c>
      <c r="F36" s="199">
        <f>IF(Inputs!F41="","",Inputs!F41)</f>
        <v>250534</v>
      </c>
      <c r="G36" s="199">
        <f>IF(Inputs!G41="","",Inputs!G41)</f>
        <v>13930</v>
      </c>
      <c r="H36" s="199" t="str">
        <f>IF(Inputs!H41="","",Inputs!H41)</f>
        <v/>
      </c>
      <c r="I36" s="199" t="str">
        <f>IF(Inputs!I41="","",Inputs!I41)</f>
        <v/>
      </c>
      <c r="J36" s="199" t="str">
        <f>IF(Inputs!J41="","",Inputs!J41)</f>
        <v/>
      </c>
      <c r="K36" s="199" t="str">
        <f>IF(Inputs!K41="","",Inputs!K41)</f>
        <v/>
      </c>
      <c r="L36" s="199" t="str">
        <f>IF(Inputs!L41="","",Inputs!L41)</f>
        <v/>
      </c>
      <c r="M36" s="199" t="str">
        <f>IF(Inputs!M41="","",Inputs!M41)</f>
        <v/>
      </c>
      <c r="N36" s="87"/>
    </row>
    <row r="37" spans="1:14" ht="15.75" customHeight="1" x14ac:dyDescent="0.4">
      <c r="A37" s="4"/>
      <c r="B37" s="94" t="s">
        <v>138</v>
      </c>
      <c r="C37" s="65">
        <f>Fin_Analysis!D4</f>
        <v>3990</v>
      </c>
      <c r="D37" s="199">
        <f>IF(Inputs!D42="","",Inputs!D42)</f>
        <v>7297</v>
      </c>
      <c r="E37" s="199">
        <f>IF(Inputs!E42="","",Inputs!E42)</f>
        <v>1498</v>
      </c>
      <c r="F37" s="199">
        <f>IF(Inputs!F42="","",Inputs!F42)</f>
        <v>2853</v>
      </c>
      <c r="G37" s="199">
        <f>IF(Inputs!G42="","",Inputs!G42)</f>
        <v>696</v>
      </c>
      <c r="H37" s="199" t="str">
        <f>IF(Inputs!H42="","",Inputs!H42)</f>
        <v/>
      </c>
      <c r="I37" s="199" t="str">
        <f>IF(Inputs!I42="","",Inputs!I42)</f>
        <v/>
      </c>
      <c r="J37" s="199" t="str">
        <f>IF(Inputs!J42="","",Inputs!J42)</f>
        <v/>
      </c>
      <c r="K37" s="199" t="str">
        <f>IF(Inputs!K42="","",Inputs!K42)</f>
        <v/>
      </c>
      <c r="L37" s="199" t="str">
        <f>IF(Inputs!L42="","",Inputs!L42)</f>
        <v/>
      </c>
      <c r="M37" s="199" t="str">
        <f>IF(Inputs!M42="","",Inputs!M42)</f>
        <v/>
      </c>
      <c r="N37" s="87"/>
    </row>
    <row r="38" spans="1:14" ht="15.75" customHeight="1" x14ac:dyDescent="0.4">
      <c r="A38" s="4"/>
      <c r="B38" s="94" t="s">
        <v>136</v>
      </c>
      <c r="C38" s="65">
        <f>Fin_Analysis!C63</f>
        <v>3045410</v>
      </c>
      <c r="D38" s="199">
        <f>IF(Inputs!D43="","",Inputs!D43)</f>
        <v>2868641</v>
      </c>
      <c r="E38" s="199" t="str">
        <f>IF(Inputs!E43="","",Inputs!E43)</f>
        <v/>
      </c>
      <c r="F38" s="199" t="str">
        <f>IF(Inputs!F43="","",Inputs!F43)</f>
        <v/>
      </c>
      <c r="G38" s="199" t="str">
        <f>IF(Inputs!G43="","",Inputs!G43)</f>
        <v/>
      </c>
      <c r="H38" s="199" t="str">
        <f>IF(Inputs!H43="","",Inputs!H43)</f>
        <v/>
      </c>
      <c r="I38" s="199" t="str">
        <f>IF(Inputs!I43="","",Inputs!I43)</f>
        <v/>
      </c>
      <c r="J38" s="199" t="str">
        <f>IF(Inputs!J43="","",Inputs!J43)</f>
        <v/>
      </c>
      <c r="K38" s="199" t="str">
        <f>IF(Inputs!K43="","",Inputs!K43)</f>
        <v/>
      </c>
      <c r="L38" s="199" t="str">
        <f>IF(Inputs!L43="","",Inputs!L43)</f>
        <v/>
      </c>
      <c r="M38" s="199" t="str">
        <f>IF(Inputs!M43="","",Inputs!M43)</f>
        <v/>
      </c>
      <c r="N38" s="87"/>
    </row>
    <row r="39" spans="1:14" ht="15.75" customHeight="1" x14ac:dyDescent="0.4">
      <c r="A39" s="4"/>
      <c r="B39" s="94" t="s">
        <v>140</v>
      </c>
      <c r="C39" s="65">
        <f>Fin_Analysis!C68</f>
        <v>624759</v>
      </c>
      <c r="D39" s="65">
        <f>IF(D38="","",D27-D38)</f>
        <v>709518</v>
      </c>
      <c r="E39" s="65" t="str">
        <f t="shared" ref="E39:M39" si="32">IF(E38="","",E27-E38)</f>
        <v/>
      </c>
      <c r="F39" s="65" t="str">
        <f t="shared" si="32"/>
        <v/>
      </c>
      <c r="G39" s="65" t="str">
        <f t="shared" si="32"/>
        <v/>
      </c>
      <c r="H39" s="65" t="str">
        <f t="shared" si="32"/>
        <v/>
      </c>
      <c r="I39" s="65" t="str">
        <f t="shared" si="32"/>
        <v/>
      </c>
      <c r="J39" s="65" t="str">
        <f t="shared" si="32"/>
        <v/>
      </c>
      <c r="K39" s="65" t="str">
        <f t="shared" si="32"/>
        <v/>
      </c>
      <c r="L39" s="65" t="str">
        <f t="shared" si="32"/>
        <v/>
      </c>
      <c r="M39" s="65" t="str">
        <f t="shared" si="32"/>
        <v/>
      </c>
      <c r="N39" s="87"/>
    </row>
    <row r="40" spans="1:14" ht="15.75" customHeight="1" x14ac:dyDescent="0.4">
      <c r="A40" s="4"/>
      <c r="B40" s="98" t="s">
        <v>157</v>
      </c>
      <c r="C40" s="155">
        <f>IF(C6="","",C14/MAX(C39,0))</f>
        <v>0.16361829121309177</v>
      </c>
      <c r="D40" s="155">
        <f>IF(D6="","",D14/MAX(D39,0))</f>
        <v>1.8773308076750696E-3</v>
      </c>
      <c r="E40" s="155" t="e">
        <f>IF(E6="","",E14/MAX(E39,0))</f>
        <v>#DIV/0!</v>
      </c>
      <c r="F40" s="155" t="str">
        <f t="shared" ref="F40:M40" si="33">IF(F39="","",F14/F39)</f>
        <v/>
      </c>
      <c r="G40" s="155" t="str">
        <f t="shared" si="33"/>
        <v/>
      </c>
      <c r="H40" s="155" t="str">
        <f t="shared" si="33"/>
        <v/>
      </c>
      <c r="I40" s="155" t="str">
        <f t="shared" si="33"/>
        <v/>
      </c>
      <c r="J40" s="155" t="str">
        <f t="shared" si="33"/>
        <v/>
      </c>
      <c r="K40" s="155" t="str">
        <f t="shared" si="33"/>
        <v/>
      </c>
      <c r="L40" s="155" t="str">
        <f t="shared" si="33"/>
        <v/>
      </c>
      <c r="M40" s="155" t="str">
        <f t="shared" si="33"/>
        <v/>
      </c>
      <c r="N40" s="87"/>
    </row>
    <row r="41" spans="1:14" ht="15.75" customHeight="1" x14ac:dyDescent="0.4">
      <c r="A41" s="16"/>
      <c r="B41" s="55" t="s">
        <v>251</v>
      </c>
      <c r="C41" s="54"/>
      <c r="D41" s="54"/>
      <c r="E41" s="54"/>
      <c r="F41" s="54"/>
      <c r="G41" s="54"/>
      <c r="H41" s="54"/>
      <c r="I41" s="54"/>
      <c r="J41" s="54"/>
      <c r="K41" s="54"/>
      <c r="L41" s="54"/>
      <c r="M41" s="54"/>
      <c r="N41" s="87"/>
    </row>
    <row r="42" spans="1:14" ht="15.75" customHeight="1" x14ac:dyDescent="0.4">
      <c r="A42" s="4"/>
      <c r="B42" s="95" t="s">
        <v>97</v>
      </c>
      <c r="C42" s="156">
        <f t="shared" ref="C42:M42" si="34">IF(C6="","",C8/C6)</f>
        <v>0.55541924442229906</v>
      </c>
      <c r="D42" s="156">
        <f t="shared" si="34"/>
        <v>0.5842954491724951</v>
      </c>
      <c r="E42" s="156">
        <f t="shared" si="34"/>
        <v>0.55491457230760188</v>
      </c>
      <c r="F42" s="156">
        <f t="shared" si="34"/>
        <v>0.56373982612619067</v>
      </c>
      <c r="G42" s="156">
        <f t="shared" si="34"/>
        <v>0.56638778894348862</v>
      </c>
      <c r="H42" s="156" t="str">
        <f t="shared" si="34"/>
        <v/>
      </c>
      <c r="I42" s="156" t="str">
        <f t="shared" si="34"/>
        <v/>
      </c>
      <c r="J42" s="156" t="str">
        <f t="shared" si="34"/>
        <v/>
      </c>
      <c r="K42" s="156" t="str">
        <f t="shared" si="34"/>
        <v/>
      </c>
      <c r="L42" s="156" t="str">
        <f t="shared" si="34"/>
        <v/>
      </c>
      <c r="M42" s="156" t="str">
        <f t="shared" si="34"/>
        <v/>
      </c>
      <c r="N42" s="87"/>
    </row>
    <row r="43" spans="1:14" ht="15.75" customHeight="1" x14ac:dyDescent="0.4">
      <c r="A43" s="4"/>
      <c r="B43" s="94" t="s">
        <v>234</v>
      </c>
      <c r="C43" s="153">
        <f t="shared" ref="C43:M43" si="35">IF(C6="","",(C10+MAX(C11,0))/C6)</f>
        <v>0.37949349616392825</v>
      </c>
      <c r="D43" s="153">
        <f t="shared" si="35"/>
        <v>0.41418931342879145</v>
      </c>
      <c r="E43" s="153">
        <f t="shared" si="35"/>
        <v>0.39871532034748752</v>
      </c>
      <c r="F43" s="153">
        <f t="shared" si="35"/>
        <v>0.2682542237658872</v>
      </c>
      <c r="G43" s="153">
        <f t="shared" si="35"/>
        <v>0.28671564736786559</v>
      </c>
      <c r="H43" s="153" t="str">
        <f t="shared" si="35"/>
        <v/>
      </c>
      <c r="I43" s="153" t="str">
        <f t="shared" si="35"/>
        <v/>
      </c>
      <c r="J43" s="153" t="str">
        <f t="shared" si="35"/>
        <v/>
      </c>
      <c r="K43" s="153" t="str">
        <f t="shared" si="35"/>
        <v/>
      </c>
      <c r="L43" s="153" t="str">
        <f t="shared" si="35"/>
        <v/>
      </c>
      <c r="M43" s="153" t="str">
        <f t="shared" si="35"/>
        <v/>
      </c>
      <c r="N43" s="87"/>
    </row>
    <row r="44" spans="1:14" ht="15.75" customHeight="1" x14ac:dyDescent="0.4">
      <c r="A44" s="4"/>
      <c r="B44" s="94" t="s">
        <v>108</v>
      </c>
      <c r="C44" s="153">
        <f t="shared" ref="C44:M44" si="36">IF(C6="","",MAX(C16,0)/C6)</f>
        <v>0</v>
      </c>
      <c r="D44" s="153">
        <f t="shared" si="36"/>
        <v>0</v>
      </c>
      <c r="E44" s="153">
        <f t="shared" si="36"/>
        <v>0</v>
      </c>
      <c r="F44" s="153">
        <f t="shared" si="36"/>
        <v>0</v>
      </c>
      <c r="G44" s="153">
        <f t="shared" si="36"/>
        <v>0</v>
      </c>
      <c r="H44" s="153" t="str">
        <f t="shared" si="36"/>
        <v/>
      </c>
      <c r="I44" s="153" t="str">
        <f t="shared" si="36"/>
        <v/>
      </c>
      <c r="J44" s="153" t="str">
        <f t="shared" si="36"/>
        <v/>
      </c>
      <c r="K44" s="153" t="str">
        <f t="shared" si="36"/>
        <v/>
      </c>
      <c r="L44" s="153" t="str">
        <f t="shared" si="36"/>
        <v/>
      </c>
      <c r="M44" s="153" t="str">
        <f t="shared" si="36"/>
        <v/>
      </c>
      <c r="N44" s="87"/>
    </row>
    <row r="45" spans="1:14" ht="15.75" customHeight="1" x14ac:dyDescent="0.4">
      <c r="A45" s="4"/>
      <c r="B45" s="94" t="s">
        <v>121</v>
      </c>
      <c r="C45" s="153">
        <f t="shared" ref="C45:M45" si="37">IF(C6="","",MAX(C17,0)/C6)</f>
        <v>6.208277497005729E-4</v>
      </c>
      <c r="D45" s="153">
        <f t="shared" si="37"/>
        <v>5.9655559994967644E-4</v>
      </c>
      <c r="E45" s="153">
        <f t="shared" si="37"/>
        <v>9.1173366750378854E-4</v>
      </c>
      <c r="F45" s="153">
        <f t="shared" si="37"/>
        <v>1.5539134531893119E-3</v>
      </c>
      <c r="G45" s="153">
        <f t="shared" si="37"/>
        <v>2.1613384974143452E-4</v>
      </c>
      <c r="H45" s="153" t="str">
        <f t="shared" si="37"/>
        <v/>
      </c>
      <c r="I45" s="153" t="str">
        <f t="shared" si="37"/>
        <v/>
      </c>
      <c r="J45" s="153" t="str">
        <f t="shared" si="37"/>
        <v/>
      </c>
      <c r="K45" s="153" t="str">
        <f t="shared" si="37"/>
        <v/>
      </c>
      <c r="L45" s="153" t="str">
        <f t="shared" si="37"/>
        <v/>
      </c>
      <c r="M45" s="153" t="str">
        <f t="shared" si="37"/>
        <v/>
      </c>
      <c r="N45" s="87"/>
    </row>
    <row r="46" spans="1:14" ht="15.75" customHeight="1" x14ac:dyDescent="0.4">
      <c r="A46" s="4"/>
      <c r="B46" s="94" t="s">
        <v>129</v>
      </c>
      <c r="C46" s="153">
        <f>IF(C6="","",MAX(C12,0)/C6)</f>
        <v>1.8148224946381651E-3</v>
      </c>
      <c r="D46" s="153">
        <f t="shared" ref="D46:M46" si="38">IF(D6="","",MAX(D12,0)/D6)</f>
        <v>5.9448182613756862E-4</v>
      </c>
      <c r="E46" s="153">
        <f t="shared" si="38"/>
        <v>0</v>
      </c>
      <c r="F46" s="153">
        <f t="shared" si="38"/>
        <v>0</v>
      </c>
      <c r="G46" s="153">
        <f t="shared" si="38"/>
        <v>0</v>
      </c>
      <c r="H46" s="153" t="str">
        <f t="shared" si="38"/>
        <v/>
      </c>
      <c r="I46" s="153" t="str">
        <f t="shared" si="38"/>
        <v/>
      </c>
      <c r="J46" s="153" t="str">
        <f t="shared" si="38"/>
        <v/>
      </c>
      <c r="K46" s="153" t="str">
        <f t="shared" si="38"/>
        <v/>
      </c>
      <c r="L46" s="153" t="str">
        <f t="shared" si="38"/>
        <v/>
      </c>
      <c r="M46" s="153" t="str">
        <f t="shared" si="38"/>
        <v/>
      </c>
      <c r="N46" s="87"/>
    </row>
    <row r="47" spans="1:14" ht="15.75" customHeight="1" x14ac:dyDescent="0.4">
      <c r="A47" s="4"/>
      <c r="B47" s="94" t="s">
        <v>236</v>
      </c>
      <c r="C47" s="153">
        <f>IF(C6="","",ABS(MAX(C21,0)-MAX(C19,0))/C6)</f>
        <v>1.2789175437999239E-2</v>
      </c>
      <c r="D47" s="153">
        <f t="shared" ref="D47:M47" si="39">IF(D6="","",ABS(MAX(D21,0)-MAX(D19,0))/D6)</f>
        <v>1.4174935263694165E-2</v>
      </c>
      <c r="E47" s="153">
        <f t="shared" si="39"/>
        <v>0</v>
      </c>
      <c r="F47" s="153">
        <f t="shared" si="39"/>
        <v>0</v>
      </c>
      <c r="G47" s="153">
        <f t="shared" si="39"/>
        <v>0</v>
      </c>
      <c r="H47" s="153" t="str">
        <f t="shared" si="39"/>
        <v/>
      </c>
      <c r="I47" s="153" t="str">
        <f t="shared" si="39"/>
        <v/>
      </c>
      <c r="J47" s="153" t="str">
        <f t="shared" si="39"/>
        <v/>
      </c>
      <c r="K47" s="153" t="str">
        <f t="shared" si="39"/>
        <v/>
      </c>
      <c r="L47" s="153" t="str">
        <f t="shared" si="39"/>
        <v/>
      </c>
      <c r="M47" s="153" t="str">
        <f t="shared" si="39"/>
        <v/>
      </c>
      <c r="N47" s="87"/>
    </row>
    <row r="48" spans="1:14" ht="15.75" customHeight="1" x14ac:dyDescent="0.4">
      <c r="A48" s="4"/>
      <c r="B48" s="94" t="s">
        <v>123</v>
      </c>
      <c r="C48" s="153">
        <f t="shared" ref="C48:M48" si="40">IF(C6="","",C22/C6)</f>
        <v>4.9862433731434744E-2</v>
      </c>
      <c r="D48" s="153">
        <f t="shared" si="40"/>
        <v>-1.385073529106798E-2</v>
      </c>
      <c r="E48" s="153">
        <f t="shared" si="40"/>
        <v>4.5458373677406808E-2</v>
      </c>
      <c r="F48" s="153">
        <f t="shared" si="40"/>
        <v>0.16645203665473277</v>
      </c>
      <c r="G48" s="153">
        <f t="shared" si="40"/>
        <v>0.14668042983890439</v>
      </c>
      <c r="H48" s="153" t="str">
        <f t="shared" si="40"/>
        <v/>
      </c>
      <c r="I48" s="153" t="str">
        <f t="shared" si="40"/>
        <v/>
      </c>
      <c r="J48" s="153" t="str">
        <f t="shared" si="40"/>
        <v/>
      </c>
      <c r="K48" s="153" t="str">
        <f t="shared" si="40"/>
        <v/>
      </c>
      <c r="L48" s="153" t="str">
        <f t="shared" si="40"/>
        <v/>
      </c>
      <c r="M48" s="153" t="str">
        <f t="shared" si="40"/>
        <v/>
      </c>
      <c r="N48" s="87"/>
    </row>
    <row r="49" spans="1:14" ht="15.75" customHeight="1" x14ac:dyDescent="0.4">
      <c r="A49" s="16"/>
      <c r="B49" s="102" t="s">
        <v>149</v>
      </c>
      <c r="C49" s="36"/>
      <c r="D49" s="36"/>
      <c r="E49" s="36"/>
      <c r="F49" s="36"/>
      <c r="G49" s="36"/>
      <c r="H49" s="36"/>
      <c r="I49" s="36"/>
      <c r="J49" s="36"/>
      <c r="K49" s="36"/>
      <c r="L49" s="36"/>
      <c r="M49" s="36"/>
      <c r="N49" s="87"/>
    </row>
    <row r="50" spans="1:14" ht="15.75" customHeight="1" x14ac:dyDescent="0.4">
      <c r="A50" s="4"/>
      <c r="B50" s="95" t="s">
        <v>146</v>
      </c>
      <c r="C50" s="156">
        <f t="shared" ref="C50:M50" si="41">IF(C29="","",C29/C6)</f>
        <v>0.11203000770618693</v>
      </c>
      <c r="D50" s="156" t="str">
        <f t="shared" si="41"/>
        <v/>
      </c>
      <c r="E50" s="156" t="str">
        <f t="shared" si="41"/>
        <v/>
      </c>
      <c r="F50" s="156" t="str">
        <f t="shared" si="41"/>
        <v/>
      </c>
      <c r="G50" s="156" t="str">
        <f t="shared" si="41"/>
        <v/>
      </c>
      <c r="H50" s="156" t="str">
        <f t="shared" si="41"/>
        <v/>
      </c>
      <c r="I50" s="156" t="str">
        <f t="shared" si="41"/>
        <v/>
      </c>
      <c r="J50" s="156" t="str">
        <f t="shared" si="41"/>
        <v/>
      </c>
      <c r="K50" s="156" t="str">
        <f t="shared" si="41"/>
        <v/>
      </c>
      <c r="L50" s="156" t="str">
        <f t="shared" si="41"/>
        <v/>
      </c>
      <c r="M50" s="156" t="str">
        <f t="shared" si="41"/>
        <v/>
      </c>
      <c r="N50" s="87"/>
    </row>
    <row r="51" spans="1:14" ht="15.75" customHeight="1" x14ac:dyDescent="0.4">
      <c r="A51" s="4"/>
      <c r="B51" s="94" t="s">
        <v>147</v>
      </c>
      <c r="C51" s="153">
        <f t="shared" ref="C51:M51" si="42">IF(C30="","",C30/C6)</f>
        <v>9.7865479067953717E-2</v>
      </c>
      <c r="D51" s="153" t="str">
        <f t="shared" si="42"/>
        <v/>
      </c>
      <c r="E51" s="153" t="str">
        <f t="shared" si="42"/>
        <v/>
      </c>
      <c r="F51" s="153" t="str">
        <f t="shared" si="42"/>
        <v/>
      </c>
      <c r="G51" s="153" t="str">
        <f t="shared" si="42"/>
        <v/>
      </c>
      <c r="H51" s="153" t="str">
        <f t="shared" si="42"/>
        <v/>
      </c>
      <c r="I51" s="153" t="str">
        <f t="shared" si="42"/>
        <v/>
      </c>
      <c r="J51" s="153" t="str">
        <f t="shared" si="42"/>
        <v/>
      </c>
      <c r="K51" s="153" t="str">
        <f t="shared" si="42"/>
        <v/>
      </c>
      <c r="L51" s="153" t="str">
        <f t="shared" si="42"/>
        <v/>
      </c>
      <c r="M51" s="153" t="str">
        <f t="shared" si="42"/>
        <v/>
      </c>
      <c r="N51" s="87"/>
    </row>
    <row r="52" spans="1:14" ht="15.75" customHeight="1" x14ac:dyDescent="0.4">
      <c r="A52" s="4"/>
      <c r="B52" s="94" t="s">
        <v>263</v>
      </c>
      <c r="C52" s="153">
        <f>IF(D6="","",C16/(C6-D6))</f>
        <v>-1.0019710323355846</v>
      </c>
      <c r="D52" s="153">
        <f t="shared" ref="D52:M52" si="43">IF(E6="","",D16/(D6-E6))</f>
        <v>0.15765272743621306</v>
      </c>
      <c r="E52" s="153" t="e">
        <f t="shared" si="43"/>
        <v>#VALUE!</v>
      </c>
      <c r="F52" s="153" t="e">
        <f t="shared" si="43"/>
        <v>#VALUE!</v>
      </c>
      <c r="G52" s="153" t="str">
        <f t="shared" si="43"/>
        <v/>
      </c>
      <c r="H52" s="153" t="str">
        <f t="shared" si="43"/>
        <v/>
      </c>
      <c r="I52" s="153" t="str">
        <f t="shared" si="43"/>
        <v/>
      </c>
      <c r="J52" s="153" t="str">
        <f t="shared" si="43"/>
        <v/>
      </c>
      <c r="K52" s="153" t="str">
        <f t="shared" si="43"/>
        <v/>
      </c>
      <c r="L52" s="153" t="str">
        <f t="shared" si="43"/>
        <v/>
      </c>
      <c r="M52" s="153" t="str">
        <f t="shared" si="43"/>
        <v/>
      </c>
      <c r="N52" s="87"/>
    </row>
    <row r="53" spans="1:14" ht="15.75" customHeight="1" x14ac:dyDescent="0.4">
      <c r="A53" s="16"/>
      <c r="B53" s="102" t="s">
        <v>124</v>
      </c>
      <c r="C53" s="36"/>
      <c r="D53" s="36"/>
      <c r="E53" s="36"/>
      <c r="F53" s="36"/>
      <c r="G53" s="36"/>
      <c r="H53" s="36"/>
      <c r="I53" s="36"/>
      <c r="J53" s="36"/>
      <c r="K53" s="36"/>
      <c r="L53" s="36"/>
      <c r="M53" s="36"/>
    </row>
    <row r="54" spans="1:14" ht="15.75" customHeight="1" x14ac:dyDescent="0.4">
      <c r="A54" s="4"/>
      <c r="B54" s="95" t="s">
        <v>19</v>
      </c>
      <c r="C54" s="156">
        <f>IF(C36="","",(C27-C36)/C27)</f>
        <v>0.1751627786077426</v>
      </c>
      <c r="D54" s="156">
        <f t="shared" ref="D54:M54" si="44">IF(D36="","",(D27-D36)/D27)</f>
        <v>0.21060858391144721</v>
      </c>
      <c r="E54" s="156">
        <f t="shared" si="44"/>
        <v>0.21276976631405353</v>
      </c>
      <c r="F54" s="156">
        <f t="shared" si="44"/>
        <v>0.84857949978181479</v>
      </c>
      <c r="G54" s="156">
        <f t="shared" si="44"/>
        <v>0.98878596160178012</v>
      </c>
      <c r="H54" s="156" t="str">
        <f t="shared" si="44"/>
        <v/>
      </c>
      <c r="I54" s="156" t="str">
        <f t="shared" si="44"/>
        <v/>
      </c>
      <c r="J54" s="156" t="str">
        <f t="shared" si="44"/>
        <v/>
      </c>
      <c r="K54" s="156" t="str">
        <f t="shared" si="44"/>
        <v/>
      </c>
      <c r="L54" s="156" t="str">
        <f t="shared" si="44"/>
        <v/>
      </c>
      <c r="M54" s="156" t="str">
        <f t="shared" si="44"/>
        <v/>
      </c>
    </row>
    <row r="55" spans="1:14" ht="15.75" customHeight="1" x14ac:dyDescent="0.4">
      <c r="A55" s="4"/>
      <c r="B55" s="94" t="s">
        <v>120</v>
      </c>
      <c r="C55" s="157">
        <f t="shared" ref="C55:M55" si="45">IF(OR(C22="",C35=""),"",IF(C35&lt;=0,"-",C22/C35))</f>
        <v>2.369393217447572</v>
      </c>
      <c r="D55" s="157">
        <f t="shared" si="45"/>
        <v>-1.2060310581437341</v>
      </c>
      <c r="E55" s="157">
        <f t="shared" si="45"/>
        <v>5.3942585015762292</v>
      </c>
      <c r="F55" s="157">
        <f t="shared" si="45"/>
        <v>0.92325313885928983</v>
      </c>
      <c r="G55" s="157">
        <f t="shared" si="45"/>
        <v>20.080950024740229</v>
      </c>
      <c r="H55" s="157" t="str">
        <f t="shared" si="45"/>
        <v/>
      </c>
      <c r="I55" s="157" t="str">
        <f t="shared" si="45"/>
        <v/>
      </c>
      <c r="J55" s="157" t="str">
        <f t="shared" si="45"/>
        <v/>
      </c>
      <c r="K55" s="157" t="str">
        <f t="shared" si="45"/>
        <v/>
      </c>
      <c r="L55" s="157" t="str">
        <f t="shared" si="45"/>
        <v/>
      </c>
      <c r="M55" s="157" t="str">
        <f t="shared" si="45"/>
        <v/>
      </c>
    </row>
    <row r="56" spans="1:14" ht="15.75" customHeight="1" x14ac:dyDescent="0.4">
      <c r="A56" s="4"/>
      <c r="B56" s="94" t="s">
        <v>122</v>
      </c>
      <c r="C56" s="153">
        <f t="shared" ref="C56:M56" si="46">IF(C22="","",IF(MAX(C17,0)&lt;=0,"-",C17/C22))</f>
        <v>1.2450811226833175E-2</v>
      </c>
      <c r="D56" s="153">
        <f t="shared" si="46"/>
        <v>-4.3070319908169882E-2</v>
      </c>
      <c r="E56" s="153">
        <f t="shared" si="46"/>
        <v>2.0056451512626985E-2</v>
      </c>
      <c r="F56" s="153">
        <f t="shared" si="46"/>
        <v>9.3355027935918562E-3</v>
      </c>
      <c r="G56" s="153">
        <f t="shared" si="46"/>
        <v>1.4735016114883846E-3</v>
      </c>
      <c r="H56" s="153" t="str">
        <f t="shared" si="46"/>
        <v/>
      </c>
      <c r="I56" s="153" t="str">
        <f t="shared" si="46"/>
        <v/>
      </c>
      <c r="J56" s="153" t="str">
        <f t="shared" si="46"/>
        <v/>
      </c>
      <c r="K56" s="153" t="str">
        <f t="shared" si="46"/>
        <v/>
      </c>
      <c r="L56" s="153" t="str">
        <f t="shared" si="46"/>
        <v/>
      </c>
      <c r="M56" s="153" t="str">
        <f t="shared" si="46"/>
        <v/>
      </c>
    </row>
    <row r="57" spans="1:14" ht="15.75" customHeight="1" x14ac:dyDescent="0.4">
      <c r="A57" s="4"/>
      <c r="B57" s="98" t="s">
        <v>20</v>
      </c>
      <c r="C57" s="158">
        <f t="shared" ref="C57:M57" si="47">IF(C28="","",C28/C31)</f>
        <v>4.8753437887604978</v>
      </c>
      <c r="D57" s="158" t="str">
        <f t="shared" si="47"/>
        <v/>
      </c>
      <c r="E57" s="158" t="str">
        <f t="shared" si="47"/>
        <v/>
      </c>
      <c r="F57" s="158" t="str">
        <f t="shared" si="47"/>
        <v/>
      </c>
      <c r="G57" s="158" t="str">
        <f t="shared" si="47"/>
        <v/>
      </c>
      <c r="H57" s="158" t="str">
        <f t="shared" si="47"/>
        <v/>
      </c>
      <c r="I57" s="158" t="str">
        <f t="shared" si="47"/>
        <v/>
      </c>
      <c r="J57" s="158" t="str">
        <f t="shared" si="47"/>
        <v/>
      </c>
      <c r="K57" s="158" t="str">
        <f t="shared" si="47"/>
        <v/>
      </c>
      <c r="L57" s="158" t="str">
        <f t="shared" si="47"/>
        <v/>
      </c>
      <c r="M57" s="158" t="str">
        <f t="shared" si="47"/>
        <v/>
      </c>
    </row>
    <row r="58" spans="1:14" ht="15.75" customHeight="1" x14ac:dyDescent="0.4"/>
    <row r="59" spans="1:14" ht="15.75" customHeight="1" x14ac:dyDescent="0.4">
      <c r="A59" s="4"/>
    </row>
    <row r="60" spans="1:14" ht="15.75" customHeight="1" x14ac:dyDescent="0.4">
      <c r="A60" s="4"/>
    </row>
    <row r="61" spans="1:14" ht="15.75" customHeight="1" x14ac:dyDescent="0.4">
      <c r="A61" s="4"/>
    </row>
    <row r="62" spans="1:14" ht="15.75" customHeight="1" x14ac:dyDescent="0.4">
      <c r="A62" s="4"/>
    </row>
    <row r="63" spans="1:14" ht="15.75" customHeight="1" x14ac:dyDescent="0.4">
      <c r="A63" s="4"/>
    </row>
    <row r="64" spans="1:14" ht="15.75" customHeight="1" x14ac:dyDescent="0.4">
      <c r="A64" s="4"/>
    </row>
    <row r="65" spans="1:1" ht="15.75" customHeight="1" x14ac:dyDescent="0.4">
      <c r="A65" s="4"/>
    </row>
    <row r="66" spans="1:1" ht="15.75" customHeight="1" x14ac:dyDescent="0.4">
      <c r="A66" s="4"/>
    </row>
    <row r="67" spans="1:1" ht="15.75" customHeight="1" x14ac:dyDescent="0.4">
      <c r="A67" s="4"/>
    </row>
    <row r="68" spans="1:1" ht="15.75" customHeight="1" x14ac:dyDescent="0.4">
      <c r="A68" s="4"/>
    </row>
    <row r="69" spans="1:1" ht="15.75" customHeight="1" x14ac:dyDescent="0.4">
      <c r="A69" s="4"/>
    </row>
    <row r="70" spans="1:1" ht="15.75" customHeight="1" x14ac:dyDescent="0.4">
      <c r="A70" s="4"/>
    </row>
    <row r="71" spans="1:1" ht="15.75" customHeight="1" x14ac:dyDescent="0.4">
      <c r="A71" s="4"/>
    </row>
    <row r="72" spans="1:1" ht="15.75" customHeight="1" x14ac:dyDescent="0.4">
      <c r="A72" s="4"/>
    </row>
    <row r="73" spans="1:1" ht="15.75" customHeight="1" x14ac:dyDescent="0.4">
      <c r="A73" s="4"/>
    </row>
    <row r="74" spans="1:1" ht="15.75" customHeight="1" x14ac:dyDescent="0.4">
      <c r="A74" s="4"/>
    </row>
    <row r="75" spans="1:1" ht="15.75" customHeight="1" x14ac:dyDescent="0.4">
      <c r="A75" s="4"/>
    </row>
    <row r="76" spans="1:1" ht="15.75" customHeight="1" x14ac:dyDescent="0.4">
      <c r="A76" s="4"/>
    </row>
    <row r="77" spans="1:1" ht="15.75" customHeight="1" x14ac:dyDescent="0.4">
      <c r="A77" s="4"/>
    </row>
    <row r="78" spans="1:1" ht="15.75" customHeight="1" x14ac:dyDescent="0.4">
      <c r="A78" s="4"/>
    </row>
    <row r="79" spans="1:1" ht="15.75" customHeight="1" x14ac:dyDescent="0.4">
      <c r="A79" s="4"/>
    </row>
    <row r="80" spans="1:1" ht="15.75" customHeight="1" x14ac:dyDescent="0.4">
      <c r="A80" s="4"/>
    </row>
    <row r="81" spans="1:1" ht="15.75" customHeight="1" x14ac:dyDescent="0.4">
      <c r="A81" s="4"/>
    </row>
    <row r="82" spans="1:1" ht="15.75" customHeight="1" x14ac:dyDescent="0.4">
      <c r="A82" s="4"/>
    </row>
    <row r="83" spans="1:1" ht="15.75" customHeight="1" x14ac:dyDescent="0.4">
      <c r="A83" s="4"/>
    </row>
    <row r="84" spans="1:1" ht="15.75" customHeight="1" x14ac:dyDescent="0.4">
      <c r="A84" s="4"/>
    </row>
    <row r="85" spans="1:1" ht="15.75" customHeight="1" x14ac:dyDescent="0.4">
      <c r="A85" s="4"/>
    </row>
    <row r="86" spans="1:1" ht="15.75" customHeight="1" x14ac:dyDescent="0.4">
      <c r="A86" s="4"/>
    </row>
    <row r="87" spans="1:1" ht="15.75" customHeight="1" x14ac:dyDescent="0.4">
      <c r="A87" s="4"/>
    </row>
    <row r="88" spans="1:1" ht="15.75" customHeight="1" x14ac:dyDescent="0.4">
      <c r="A88" s="4"/>
    </row>
    <row r="89" spans="1:1" ht="15.75" customHeight="1" x14ac:dyDescent="0.4">
      <c r="A89" s="4"/>
    </row>
    <row r="90" spans="1:1" ht="15.75" customHeight="1" x14ac:dyDescent="0.4">
      <c r="A90" s="4"/>
    </row>
    <row r="91" spans="1:1" ht="15.75" customHeight="1" x14ac:dyDescent="0.4">
      <c r="A91" s="4"/>
    </row>
    <row r="92" spans="1:1" ht="15.75" customHeight="1" x14ac:dyDescent="0.4">
      <c r="A92" s="4"/>
    </row>
    <row r="93" spans="1:1" ht="15.75" customHeight="1" x14ac:dyDescent="0.4">
      <c r="A93" s="4"/>
    </row>
    <row r="94" spans="1:1" ht="15.75" customHeight="1" x14ac:dyDescent="0.4">
      <c r="A94" s="4"/>
    </row>
    <row r="95" spans="1:1" ht="15.75" customHeight="1" x14ac:dyDescent="0.4">
      <c r="A95" s="4"/>
    </row>
    <row r="96" spans="1:1" ht="15.75" customHeight="1" x14ac:dyDescent="0.4">
      <c r="A96" s="4"/>
    </row>
    <row r="97" spans="1:1" ht="15.75" customHeight="1" x14ac:dyDescent="0.4">
      <c r="A97" s="4"/>
    </row>
    <row r="98" spans="1:1" ht="15.75" customHeight="1" x14ac:dyDescent="0.4">
      <c r="A98" s="4"/>
    </row>
    <row r="99" spans="1:1" ht="15.75" customHeight="1" x14ac:dyDescent="0.4">
      <c r="A99" s="4"/>
    </row>
    <row r="100" spans="1:1" ht="15.75" customHeight="1" x14ac:dyDescent="0.4">
      <c r="A100" s="4"/>
    </row>
    <row r="101" spans="1:1" ht="15.75" customHeight="1" x14ac:dyDescent="0.4">
      <c r="A101" s="4"/>
    </row>
    <row r="102" spans="1:1" ht="15.75" customHeight="1" x14ac:dyDescent="0.4">
      <c r="A102" s="4"/>
    </row>
    <row r="103" spans="1:1" ht="15.75" customHeight="1" x14ac:dyDescent="0.4">
      <c r="A103" s="4"/>
    </row>
    <row r="104" spans="1:1" ht="15.75" customHeight="1" x14ac:dyDescent="0.4">
      <c r="A104" s="4"/>
    </row>
    <row r="105" spans="1:1" ht="15.75" customHeight="1" x14ac:dyDescent="0.4">
      <c r="A105" s="4"/>
    </row>
    <row r="106" spans="1:1" ht="15.75" customHeight="1" x14ac:dyDescent="0.4">
      <c r="A106" s="4"/>
    </row>
    <row r="107" spans="1:1" ht="15.75" customHeight="1" x14ac:dyDescent="0.4">
      <c r="A107" s="4"/>
    </row>
    <row r="108" spans="1:1" ht="15.75" customHeight="1" x14ac:dyDescent="0.4">
      <c r="A108" s="4"/>
    </row>
    <row r="109" spans="1:1" ht="15.75" customHeight="1" x14ac:dyDescent="0.4">
      <c r="A109" s="4"/>
    </row>
    <row r="110" spans="1:1" ht="15.75" customHeight="1" x14ac:dyDescent="0.4">
      <c r="A110" s="4"/>
    </row>
    <row r="111" spans="1:1" ht="15.75" customHeight="1" x14ac:dyDescent="0.4">
      <c r="A111" s="4"/>
    </row>
    <row r="112" spans="1:1" ht="15.75" customHeight="1" x14ac:dyDescent="0.4">
      <c r="A112" s="4"/>
    </row>
    <row r="113" spans="1:1" ht="15.75" customHeight="1" x14ac:dyDescent="0.4">
      <c r="A113" s="4"/>
    </row>
    <row r="114" spans="1:1" ht="15.75" customHeight="1" x14ac:dyDescent="0.4">
      <c r="A114" s="4"/>
    </row>
    <row r="115" spans="1:1" ht="15.75" customHeight="1" x14ac:dyDescent="0.4">
      <c r="A115" s="4"/>
    </row>
    <row r="116" spans="1:1" ht="15.75" customHeight="1" x14ac:dyDescent="0.4">
      <c r="A116" s="4"/>
    </row>
    <row r="117" spans="1:1" ht="15.75" customHeight="1" x14ac:dyDescent="0.4">
      <c r="A117" s="4"/>
    </row>
    <row r="118" spans="1:1" ht="15.75" customHeight="1" x14ac:dyDescent="0.4">
      <c r="A118" s="4"/>
    </row>
    <row r="119" spans="1:1" ht="15.75" customHeight="1" x14ac:dyDescent="0.4">
      <c r="A119" s="4"/>
    </row>
    <row r="120" spans="1:1" ht="15.75" customHeight="1" x14ac:dyDescent="0.4">
      <c r="A120" s="4"/>
    </row>
    <row r="121" spans="1:1" ht="15.75" customHeight="1" x14ac:dyDescent="0.4">
      <c r="A121" s="4"/>
    </row>
    <row r="122" spans="1:1" ht="15.75" customHeight="1" x14ac:dyDescent="0.4">
      <c r="A122" s="4"/>
    </row>
    <row r="123" spans="1:1" ht="15.75" customHeight="1" x14ac:dyDescent="0.4">
      <c r="A123" s="4"/>
    </row>
    <row r="124" spans="1:1" ht="15.75" customHeight="1" x14ac:dyDescent="0.4">
      <c r="A124" s="4"/>
    </row>
    <row r="125" spans="1:1" ht="15.75" customHeight="1" x14ac:dyDescent="0.4">
      <c r="A125" s="4"/>
    </row>
    <row r="126" spans="1:1" ht="15.75" customHeight="1" x14ac:dyDescent="0.4">
      <c r="A126" s="4"/>
    </row>
    <row r="127" spans="1:1" ht="15.75" customHeight="1" x14ac:dyDescent="0.4">
      <c r="A127" s="4"/>
    </row>
    <row r="128" spans="1:1" ht="15.75" customHeight="1" x14ac:dyDescent="0.4">
      <c r="A128" s="4"/>
    </row>
    <row r="129" spans="1:1" ht="15.75" customHeight="1" x14ac:dyDescent="0.4">
      <c r="A129" s="4"/>
    </row>
    <row r="130" spans="1:1" ht="15.75" customHeight="1" x14ac:dyDescent="0.4">
      <c r="A130" s="4"/>
    </row>
    <row r="131" spans="1:1" ht="15.75" customHeight="1" x14ac:dyDescent="0.4">
      <c r="A131" s="4"/>
    </row>
    <row r="132" spans="1:1" ht="15.75" customHeight="1" x14ac:dyDescent="0.4">
      <c r="A132" s="4"/>
    </row>
    <row r="133" spans="1:1" ht="15.75" customHeight="1" x14ac:dyDescent="0.4">
      <c r="A133" s="4"/>
    </row>
    <row r="134" spans="1:1" ht="15.75" customHeight="1" x14ac:dyDescent="0.4">
      <c r="A134" s="4"/>
    </row>
    <row r="135" spans="1:1" ht="15.75" customHeight="1" x14ac:dyDescent="0.4">
      <c r="A135" s="4"/>
    </row>
    <row r="136" spans="1:1" ht="15.75" customHeight="1" x14ac:dyDescent="0.4">
      <c r="A136" s="4"/>
    </row>
    <row r="137" spans="1:1" ht="15.75" customHeight="1" x14ac:dyDescent="0.4">
      <c r="A137" s="4"/>
    </row>
    <row r="138" spans="1:1" ht="15.75" customHeight="1" x14ac:dyDescent="0.4">
      <c r="A138" s="4"/>
    </row>
    <row r="139" spans="1:1" ht="15.75" customHeight="1" x14ac:dyDescent="0.4">
      <c r="A139" s="4"/>
    </row>
    <row r="140" spans="1:1" ht="15.75" customHeight="1" x14ac:dyDescent="0.4">
      <c r="A140" s="4"/>
    </row>
    <row r="141" spans="1:1" ht="15.75" customHeight="1" x14ac:dyDescent="0.4">
      <c r="A141" s="4"/>
    </row>
    <row r="142" spans="1:1" ht="15.75" customHeight="1" x14ac:dyDescent="0.4">
      <c r="A142" s="4"/>
    </row>
    <row r="143" spans="1:1" ht="15.75" customHeight="1" x14ac:dyDescent="0.4">
      <c r="A143" s="4"/>
    </row>
    <row r="144" spans="1:1" ht="15.75" customHeight="1" x14ac:dyDescent="0.4">
      <c r="A144" s="4"/>
    </row>
    <row r="145" spans="1:1" ht="15.75" customHeight="1" x14ac:dyDescent="0.4">
      <c r="A145" s="4"/>
    </row>
    <row r="146" spans="1:1" ht="15.75" customHeight="1" x14ac:dyDescent="0.4">
      <c r="A146" s="4"/>
    </row>
    <row r="147" spans="1:1" ht="15.75" customHeight="1" x14ac:dyDescent="0.4">
      <c r="A147" s="4"/>
    </row>
    <row r="148" spans="1:1" ht="15.75" customHeight="1" x14ac:dyDescent="0.4">
      <c r="A148" s="4"/>
    </row>
    <row r="149" spans="1:1" ht="15.75" customHeight="1" x14ac:dyDescent="0.4">
      <c r="A149" s="4"/>
    </row>
    <row r="150" spans="1:1" ht="15.75" customHeight="1" x14ac:dyDescent="0.4">
      <c r="A150" s="4"/>
    </row>
    <row r="151" spans="1:1" ht="15.75" customHeight="1" x14ac:dyDescent="0.4">
      <c r="A151" s="4"/>
    </row>
    <row r="152" spans="1:1" ht="15.75" customHeight="1" x14ac:dyDescent="0.4">
      <c r="A152" s="4"/>
    </row>
    <row r="153" spans="1:1" ht="15.75" customHeight="1" x14ac:dyDescent="0.4">
      <c r="A153" s="4"/>
    </row>
    <row r="154" spans="1:1" ht="15.75" customHeight="1" x14ac:dyDescent="0.4">
      <c r="A154" s="4"/>
    </row>
    <row r="155" spans="1:1" ht="15.75" customHeight="1" x14ac:dyDescent="0.4">
      <c r="A155" s="4"/>
    </row>
    <row r="156" spans="1:1" ht="15.75" customHeight="1" x14ac:dyDescent="0.4">
      <c r="A156" s="4"/>
    </row>
    <row r="157" spans="1:1" ht="15.75" customHeight="1" x14ac:dyDescent="0.4">
      <c r="A157" s="4"/>
    </row>
    <row r="158" spans="1:1" ht="15.75" customHeight="1" x14ac:dyDescent="0.4">
      <c r="A158" s="4"/>
    </row>
    <row r="159" spans="1:1" ht="15.75" customHeight="1" x14ac:dyDescent="0.4">
      <c r="A159" s="4"/>
    </row>
    <row r="160" spans="1:1" ht="15.75" customHeight="1" x14ac:dyDescent="0.4">
      <c r="A160" s="4"/>
    </row>
    <row r="161" spans="1:1" ht="15.75" customHeight="1" x14ac:dyDescent="0.4">
      <c r="A161" s="4"/>
    </row>
    <row r="162" spans="1:1" ht="15.75" customHeight="1" x14ac:dyDescent="0.4">
      <c r="A162" s="4"/>
    </row>
    <row r="163" spans="1:1" ht="15.75" customHeight="1" x14ac:dyDescent="0.4">
      <c r="A163" s="4"/>
    </row>
    <row r="164" spans="1:1" ht="15.75" customHeight="1" x14ac:dyDescent="0.4">
      <c r="A164" s="4"/>
    </row>
    <row r="165" spans="1:1" ht="15.75" customHeight="1" x14ac:dyDescent="0.4">
      <c r="A165" s="4"/>
    </row>
    <row r="166" spans="1:1" ht="15.75" customHeight="1" x14ac:dyDescent="0.4">
      <c r="A166" s="4"/>
    </row>
    <row r="167" spans="1:1" ht="15.75" customHeight="1" x14ac:dyDescent="0.4">
      <c r="A167" s="4"/>
    </row>
    <row r="168" spans="1:1" ht="15.75" customHeight="1" x14ac:dyDescent="0.4">
      <c r="A168" s="4"/>
    </row>
    <row r="169" spans="1:1" ht="15.75" customHeight="1" x14ac:dyDescent="0.4">
      <c r="A169" s="4"/>
    </row>
    <row r="170" spans="1:1" ht="15.75" customHeight="1" x14ac:dyDescent="0.4">
      <c r="A170" s="4"/>
    </row>
    <row r="171" spans="1:1" ht="15.75" customHeight="1" x14ac:dyDescent="0.4">
      <c r="A171" s="4"/>
    </row>
    <row r="172" spans="1:1" ht="15.75" customHeight="1" x14ac:dyDescent="0.4">
      <c r="A172" s="4"/>
    </row>
    <row r="173" spans="1:1" ht="15.75" customHeight="1" x14ac:dyDescent="0.4">
      <c r="A173" s="4"/>
    </row>
    <row r="174" spans="1:1" ht="15.75" customHeight="1" x14ac:dyDescent="0.4">
      <c r="A174" s="4"/>
    </row>
    <row r="175" spans="1:1" ht="15.75" customHeight="1" x14ac:dyDescent="0.4">
      <c r="A175" s="4"/>
    </row>
    <row r="176" spans="1:1" ht="15.75" customHeight="1" x14ac:dyDescent="0.4">
      <c r="A176" s="4"/>
    </row>
    <row r="177" spans="1:1" ht="15.75" customHeight="1" x14ac:dyDescent="0.4">
      <c r="A177" s="4"/>
    </row>
    <row r="178" spans="1:1" ht="15.75" customHeight="1" x14ac:dyDescent="0.4">
      <c r="A178" s="4"/>
    </row>
    <row r="179" spans="1:1" ht="15.75" customHeight="1" x14ac:dyDescent="0.4">
      <c r="A179" s="4"/>
    </row>
    <row r="180" spans="1:1" ht="15.75" customHeight="1" x14ac:dyDescent="0.4">
      <c r="A180" s="4"/>
    </row>
    <row r="181" spans="1:1" ht="15.75" customHeight="1" x14ac:dyDescent="0.4">
      <c r="A181" s="4"/>
    </row>
    <row r="182" spans="1:1" ht="15.75" customHeight="1" x14ac:dyDescent="0.4">
      <c r="A182" s="4"/>
    </row>
    <row r="183" spans="1:1" ht="15.75" customHeight="1" x14ac:dyDescent="0.4">
      <c r="A183" s="4"/>
    </row>
    <row r="184" spans="1:1" ht="15.75" customHeight="1" x14ac:dyDescent="0.4">
      <c r="A184" s="4"/>
    </row>
    <row r="185" spans="1:1" ht="15.75" customHeight="1" x14ac:dyDescent="0.4">
      <c r="A185" s="4"/>
    </row>
    <row r="186" spans="1:1" ht="15.75" customHeight="1" x14ac:dyDescent="0.4">
      <c r="A186" s="4"/>
    </row>
    <row r="187" spans="1:1" ht="15.75" customHeight="1" x14ac:dyDescent="0.4">
      <c r="A187" s="4"/>
    </row>
    <row r="188" spans="1:1" ht="15.75" customHeight="1" x14ac:dyDescent="0.4">
      <c r="A188" s="4"/>
    </row>
    <row r="189" spans="1:1" ht="15.75" customHeight="1" x14ac:dyDescent="0.4">
      <c r="A189" s="4"/>
    </row>
    <row r="190" spans="1:1" ht="15.75" customHeight="1" x14ac:dyDescent="0.4">
      <c r="A190" s="4"/>
    </row>
    <row r="191" spans="1:1" ht="15.75" customHeight="1" x14ac:dyDescent="0.4">
      <c r="A191" s="4"/>
    </row>
    <row r="192" spans="1:1" ht="15.75" customHeight="1" x14ac:dyDescent="0.4">
      <c r="A192" s="4"/>
    </row>
    <row r="193" spans="1:1" ht="15.75" customHeight="1" x14ac:dyDescent="0.4">
      <c r="A193" s="4"/>
    </row>
    <row r="194" spans="1:1" ht="15.75" customHeight="1" x14ac:dyDescent="0.4">
      <c r="A194" s="4"/>
    </row>
    <row r="195" spans="1:1" ht="15.75" customHeight="1" x14ac:dyDescent="0.4">
      <c r="A195" s="4"/>
    </row>
    <row r="196" spans="1:1" ht="15.75" customHeight="1" x14ac:dyDescent="0.4">
      <c r="A196" s="4"/>
    </row>
    <row r="197" spans="1:1" ht="15.75" customHeight="1" x14ac:dyDescent="0.4">
      <c r="A197" s="4"/>
    </row>
    <row r="198" spans="1:1" ht="15.75" customHeight="1" x14ac:dyDescent="0.4">
      <c r="A198" s="4"/>
    </row>
    <row r="199" spans="1:1" ht="15.75" customHeight="1" x14ac:dyDescent="0.4">
      <c r="A199" s="4"/>
    </row>
    <row r="200" spans="1:1" ht="15.75" customHeight="1" x14ac:dyDescent="0.4">
      <c r="A200" s="4"/>
    </row>
    <row r="201" spans="1:1" ht="15.75" customHeight="1" x14ac:dyDescent="0.4">
      <c r="A201" s="4"/>
    </row>
    <row r="202" spans="1:1" ht="15.75" customHeight="1" x14ac:dyDescent="0.4">
      <c r="A202" s="4"/>
    </row>
    <row r="203" spans="1:1" ht="15.75" customHeight="1" x14ac:dyDescent="0.4">
      <c r="A203" s="4"/>
    </row>
    <row r="204" spans="1:1" ht="15.75" customHeight="1" x14ac:dyDescent="0.4">
      <c r="A204" s="4"/>
    </row>
    <row r="205" spans="1:1" ht="15.75" customHeight="1" x14ac:dyDescent="0.4">
      <c r="A205" s="4"/>
    </row>
    <row r="206" spans="1:1" ht="15.75" customHeight="1" x14ac:dyDescent="0.4">
      <c r="A206" s="4"/>
    </row>
    <row r="207" spans="1:1" ht="15.75" customHeight="1" x14ac:dyDescent="0.4">
      <c r="A207" s="4"/>
    </row>
    <row r="208" spans="1:1" ht="15.75" customHeight="1" x14ac:dyDescent="0.4">
      <c r="A208" s="4"/>
    </row>
    <row r="209" spans="1:1" ht="15.75" customHeight="1" x14ac:dyDescent="0.4">
      <c r="A209" s="4"/>
    </row>
    <row r="210" spans="1:1" ht="15.75" customHeight="1" x14ac:dyDescent="0.4">
      <c r="A210" s="4"/>
    </row>
    <row r="211" spans="1:1" ht="15.75" customHeight="1" x14ac:dyDescent="0.4">
      <c r="A211" s="4"/>
    </row>
    <row r="212" spans="1:1" ht="15.75" customHeight="1" x14ac:dyDescent="0.4">
      <c r="A212" s="4"/>
    </row>
    <row r="213" spans="1:1" ht="15.75" customHeight="1" x14ac:dyDescent="0.4">
      <c r="A213" s="4"/>
    </row>
    <row r="214" spans="1:1" ht="15.75" customHeight="1" x14ac:dyDescent="0.4">
      <c r="A214" s="4"/>
    </row>
    <row r="215" spans="1:1" ht="15.75" customHeight="1" x14ac:dyDescent="0.4">
      <c r="A215" s="4"/>
    </row>
    <row r="216" spans="1:1" ht="15.75" customHeight="1" x14ac:dyDescent="0.4">
      <c r="A216" s="4"/>
    </row>
    <row r="217" spans="1:1" ht="15.75" customHeight="1" x14ac:dyDescent="0.4">
      <c r="A217" s="4"/>
    </row>
    <row r="218" spans="1:1" ht="15.75" customHeight="1" x14ac:dyDescent="0.4">
      <c r="A218" s="4"/>
    </row>
    <row r="219" spans="1:1" ht="15.75" customHeight="1" x14ac:dyDescent="0.4">
      <c r="A219" s="4"/>
    </row>
    <row r="220" spans="1:1" ht="15.75" customHeight="1" x14ac:dyDescent="0.4">
      <c r="A220" s="4"/>
    </row>
    <row r="221" spans="1:1" ht="15.75" customHeight="1" x14ac:dyDescent="0.4">
      <c r="A221" s="4"/>
    </row>
    <row r="222" spans="1:1" ht="15.75" customHeight="1" x14ac:dyDescent="0.4">
      <c r="A222" s="4"/>
    </row>
    <row r="223" spans="1:1" ht="15.75" customHeight="1" x14ac:dyDescent="0.4">
      <c r="A223" s="4"/>
    </row>
    <row r="224" spans="1:1" ht="15.75" customHeight="1" x14ac:dyDescent="0.4">
      <c r="A224" s="4"/>
    </row>
    <row r="225" spans="1:1" ht="15.75" customHeight="1" x14ac:dyDescent="0.4">
      <c r="A225" s="4"/>
    </row>
    <row r="226" spans="1:1" ht="15.75" customHeight="1" x14ac:dyDescent="0.4">
      <c r="A226" s="4"/>
    </row>
    <row r="227" spans="1:1" ht="15.75" customHeight="1" x14ac:dyDescent="0.4">
      <c r="A227" s="4"/>
    </row>
    <row r="228" spans="1:1" ht="15.75" customHeight="1" x14ac:dyDescent="0.4">
      <c r="A228" s="4"/>
    </row>
    <row r="229" spans="1:1" ht="15.75" customHeight="1" x14ac:dyDescent="0.4">
      <c r="A229" s="4"/>
    </row>
    <row r="230" spans="1:1" ht="15.75" customHeight="1" x14ac:dyDescent="0.4">
      <c r="A230" s="4"/>
    </row>
    <row r="231" spans="1:1" ht="15.75" customHeight="1" x14ac:dyDescent="0.4">
      <c r="A231" s="4"/>
    </row>
    <row r="232" spans="1:1" ht="15.75" customHeight="1" x14ac:dyDescent="0.4">
      <c r="A232" s="4"/>
    </row>
    <row r="233" spans="1:1" ht="15.75" customHeight="1" x14ac:dyDescent="0.4">
      <c r="A233" s="4"/>
    </row>
    <row r="234" spans="1:1" ht="15.75" customHeight="1" x14ac:dyDescent="0.4">
      <c r="A234" s="4"/>
    </row>
    <row r="235" spans="1:1" ht="15.75" customHeight="1" x14ac:dyDescent="0.4">
      <c r="A235" s="4"/>
    </row>
    <row r="236" spans="1:1" ht="15.75" customHeight="1" x14ac:dyDescent="0.4">
      <c r="A236" s="4"/>
    </row>
    <row r="237" spans="1:1" ht="15.75" customHeight="1" x14ac:dyDescent="0.4">
      <c r="A237" s="4"/>
    </row>
    <row r="238" spans="1:1" ht="15.75" customHeight="1" x14ac:dyDescent="0.4">
      <c r="A238" s="4"/>
    </row>
    <row r="239" spans="1:1" ht="15.75" customHeight="1" x14ac:dyDescent="0.4">
      <c r="A239" s="4"/>
    </row>
    <row r="240" spans="1:1" ht="15.75" customHeight="1" x14ac:dyDescent="0.4">
      <c r="A240" s="4"/>
    </row>
    <row r="241" spans="1:1" ht="15.75" customHeight="1" x14ac:dyDescent="0.4">
      <c r="A241" s="4"/>
    </row>
    <row r="242" spans="1:1" ht="15.75" customHeight="1" x14ac:dyDescent="0.4">
      <c r="A242" s="4"/>
    </row>
    <row r="243" spans="1:1" ht="15.75" customHeight="1" x14ac:dyDescent="0.4">
      <c r="A243" s="4"/>
    </row>
    <row r="244" spans="1:1" ht="15.75" customHeight="1" x14ac:dyDescent="0.4">
      <c r="A244" s="4"/>
    </row>
    <row r="245" spans="1:1" ht="15.75" customHeight="1" x14ac:dyDescent="0.4">
      <c r="A245" s="4"/>
    </row>
    <row r="246" spans="1:1" ht="15.75" customHeight="1" x14ac:dyDescent="0.4">
      <c r="A246" s="4"/>
    </row>
    <row r="247" spans="1:1" ht="15.75" customHeight="1" x14ac:dyDescent="0.4">
      <c r="A247" s="4"/>
    </row>
    <row r="248" spans="1:1" ht="15.75" customHeight="1" x14ac:dyDescent="0.4">
      <c r="A248" s="4"/>
    </row>
    <row r="249" spans="1:1" ht="15.75" customHeight="1" x14ac:dyDescent="0.4"/>
    <row r="250" spans="1:1" ht="15.75" customHeight="1" x14ac:dyDescent="0.4"/>
    <row r="251" spans="1:1" ht="15.75" customHeight="1" x14ac:dyDescent="0.4"/>
    <row r="252" spans="1:1" ht="15.75" customHeight="1" x14ac:dyDescent="0.4"/>
    <row r="253" spans="1:1" ht="15.75" customHeight="1" x14ac:dyDescent="0.4"/>
    <row r="254" spans="1:1" ht="15.75" customHeight="1" x14ac:dyDescent="0.4"/>
    <row r="255" spans="1:1" ht="15.75" customHeight="1" x14ac:dyDescent="0.4"/>
    <row r="256" spans="1:1" ht="15.75" customHeight="1" x14ac:dyDescent="0.4"/>
    <row r="257" ht="15.75" customHeight="1" x14ac:dyDescent="0.4"/>
    <row r="258" ht="15.75" customHeight="1" x14ac:dyDescent="0.4"/>
    <row r="259" ht="15.75" customHeight="1" x14ac:dyDescent="0.4"/>
    <row r="260" ht="15.75" customHeight="1" x14ac:dyDescent="0.4"/>
    <row r="261" ht="15.75" customHeight="1" x14ac:dyDescent="0.4"/>
    <row r="262" ht="15.75" customHeight="1" x14ac:dyDescent="0.4"/>
    <row r="263" ht="15.75" customHeight="1" x14ac:dyDescent="0.4"/>
    <row r="264" ht="15.75" customHeight="1" x14ac:dyDescent="0.4"/>
    <row r="265" ht="15.75" customHeight="1" x14ac:dyDescent="0.4"/>
    <row r="266" ht="15.75" customHeight="1" x14ac:dyDescent="0.4"/>
    <row r="267" ht="15.75" customHeight="1" x14ac:dyDescent="0.4"/>
    <row r="268" ht="15.75" customHeight="1" x14ac:dyDescent="0.4"/>
    <row r="269" ht="15.75" customHeight="1" x14ac:dyDescent="0.4"/>
    <row r="270" ht="15.75" customHeight="1" x14ac:dyDescent="0.4"/>
    <row r="271" ht="15.75" customHeight="1" x14ac:dyDescent="0.4"/>
    <row r="272" ht="15.75" customHeight="1" x14ac:dyDescent="0.4"/>
    <row r="273" ht="15.75" customHeight="1" x14ac:dyDescent="0.4"/>
    <row r="274" ht="15.75" customHeight="1" x14ac:dyDescent="0.4"/>
    <row r="275" ht="15.75" customHeight="1" x14ac:dyDescent="0.4"/>
    <row r="276" ht="15.75" customHeight="1" x14ac:dyDescent="0.4"/>
    <row r="277" ht="15.75" customHeight="1" x14ac:dyDescent="0.4"/>
    <row r="278" ht="15.75" customHeight="1" x14ac:dyDescent="0.4"/>
    <row r="279" ht="15.75" customHeight="1" x14ac:dyDescent="0.4"/>
    <row r="280" ht="15.75" customHeight="1" x14ac:dyDescent="0.4"/>
    <row r="281" ht="15.75" customHeight="1" x14ac:dyDescent="0.4"/>
    <row r="282" ht="15.75" customHeight="1" x14ac:dyDescent="0.4"/>
    <row r="283" ht="15.75" customHeight="1" x14ac:dyDescent="0.4"/>
    <row r="284" ht="15.75" customHeight="1" x14ac:dyDescent="0.4"/>
    <row r="285" ht="15.75" customHeight="1" x14ac:dyDescent="0.4"/>
    <row r="286" ht="15.75" customHeight="1" x14ac:dyDescent="0.4"/>
    <row r="287" ht="15.75" customHeight="1" x14ac:dyDescent="0.4"/>
    <row r="288" ht="15.75" customHeight="1" x14ac:dyDescent="0.4"/>
    <row r="289" ht="15.75" customHeight="1" x14ac:dyDescent="0.4"/>
    <row r="290" ht="15.75" customHeight="1" x14ac:dyDescent="0.4"/>
    <row r="291" ht="15.75" customHeight="1" x14ac:dyDescent="0.4"/>
    <row r="292" ht="15.75" customHeight="1" x14ac:dyDescent="0.4"/>
    <row r="293" ht="15.75" customHeight="1" x14ac:dyDescent="0.4"/>
    <row r="294" ht="15.75" customHeight="1" x14ac:dyDescent="0.4"/>
    <row r="295" ht="15.75" customHeight="1" x14ac:dyDescent="0.4"/>
    <row r="296" ht="15.75" customHeight="1" x14ac:dyDescent="0.4"/>
    <row r="297" ht="15.75" customHeight="1" x14ac:dyDescent="0.4"/>
    <row r="298" ht="15.75" customHeight="1" x14ac:dyDescent="0.4"/>
    <row r="299" ht="15.75" customHeight="1" x14ac:dyDescent="0.4"/>
    <row r="300" ht="15.75" customHeight="1" x14ac:dyDescent="0.4"/>
    <row r="301" ht="15.75" customHeight="1" x14ac:dyDescent="0.4"/>
    <row r="302" ht="15.75" customHeight="1" x14ac:dyDescent="0.4"/>
    <row r="303" ht="15.75" customHeight="1" x14ac:dyDescent="0.4"/>
    <row r="304" ht="15.75" customHeight="1" x14ac:dyDescent="0.4"/>
    <row r="305" ht="15.75" customHeight="1" x14ac:dyDescent="0.4"/>
    <row r="306" ht="15.75" customHeight="1" x14ac:dyDescent="0.4"/>
    <row r="307" ht="15.75" customHeight="1" x14ac:dyDescent="0.4"/>
    <row r="308" ht="15.75" customHeight="1" x14ac:dyDescent="0.4"/>
    <row r="309" ht="15.75" customHeight="1" x14ac:dyDescent="0.4"/>
    <row r="310" ht="15.75" customHeight="1" x14ac:dyDescent="0.4"/>
    <row r="311" ht="15.75" customHeight="1" x14ac:dyDescent="0.4"/>
    <row r="312" ht="15.75" customHeight="1" x14ac:dyDescent="0.4"/>
    <row r="313" ht="15.75" customHeight="1" x14ac:dyDescent="0.4"/>
    <row r="314" ht="15.75" customHeight="1" x14ac:dyDescent="0.4"/>
    <row r="315" ht="15.75" customHeight="1" x14ac:dyDescent="0.4"/>
    <row r="316" ht="15.75" customHeight="1" x14ac:dyDescent="0.4"/>
    <row r="317" ht="15.75" customHeight="1" x14ac:dyDescent="0.4"/>
    <row r="318" ht="15.75" customHeight="1" x14ac:dyDescent="0.4"/>
    <row r="319" ht="15.75" customHeight="1" x14ac:dyDescent="0.4"/>
    <row r="320" ht="15.75" customHeight="1" x14ac:dyDescent="0.4"/>
    <row r="321" ht="15.75" customHeight="1" x14ac:dyDescent="0.4"/>
    <row r="322" ht="15.75" customHeight="1" x14ac:dyDescent="0.4"/>
    <row r="323" ht="15.75" customHeight="1" x14ac:dyDescent="0.4"/>
    <row r="324" ht="15.75" customHeight="1" x14ac:dyDescent="0.4"/>
    <row r="325" ht="15.75" customHeight="1" x14ac:dyDescent="0.4"/>
    <row r="326" ht="15.75" customHeight="1" x14ac:dyDescent="0.4"/>
    <row r="327" ht="15.75" customHeight="1" x14ac:dyDescent="0.4"/>
    <row r="328" ht="15.75" customHeight="1" x14ac:dyDescent="0.4"/>
    <row r="329" ht="15.75" customHeight="1" x14ac:dyDescent="0.4"/>
    <row r="330" ht="15.75" customHeight="1" x14ac:dyDescent="0.4"/>
    <row r="331" ht="15.75" customHeight="1" x14ac:dyDescent="0.4"/>
    <row r="332" ht="15.75" customHeight="1" x14ac:dyDescent="0.4"/>
    <row r="333" ht="15.75" customHeight="1" x14ac:dyDescent="0.4"/>
    <row r="334" ht="15.75" customHeight="1" x14ac:dyDescent="0.4"/>
    <row r="335" ht="15.75" customHeight="1" x14ac:dyDescent="0.4"/>
    <row r="336" ht="15.75" customHeight="1" x14ac:dyDescent="0.4"/>
    <row r="337" ht="15.75" customHeight="1" x14ac:dyDescent="0.4"/>
    <row r="338" ht="15.75" customHeight="1" x14ac:dyDescent="0.4"/>
    <row r="339" ht="15.75" customHeight="1" x14ac:dyDescent="0.4"/>
    <row r="340" ht="15.75" customHeight="1" x14ac:dyDescent="0.4"/>
    <row r="341" ht="15.75" customHeight="1" x14ac:dyDescent="0.4"/>
    <row r="342" ht="15.75" customHeight="1" x14ac:dyDescent="0.4"/>
    <row r="343" ht="15.75" customHeight="1" x14ac:dyDescent="0.4"/>
    <row r="344" ht="15.75" customHeight="1" x14ac:dyDescent="0.4"/>
    <row r="345" ht="15.75" customHeight="1" x14ac:dyDescent="0.4"/>
    <row r="346" ht="15.75" customHeight="1" x14ac:dyDescent="0.4"/>
    <row r="347" ht="15.75" customHeight="1" x14ac:dyDescent="0.4"/>
    <row r="348" ht="15.75" customHeight="1" x14ac:dyDescent="0.4"/>
    <row r="349" ht="15.75" customHeight="1" x14ac:dyDescent="0.4"/>
    <row r="350" ht="15.75" customHeight="1" x14ac:dyDescent="0.4"/>
    <row r="351" ht="15.75" customHeight="1" x14ac:dyDescent="0.4"/>
    <row r="352" ht="15.75" customHeight="1" x14ac:dyDescent="0.4"/>
    <row r="353" ht="15.75" customHeight="1" x14ac:dyDescent="0.4"/>
    <row r="354" ht="15.75" customHeight="1" x14ac:dyDescent="0.4"/>
    <row r="355" ht="15.75" customHeight="1" x14ac:dyDescent="0.4"/>
    <row r="356" ht="15.75" customHeight="1" x14ac:dyDescent="0.4"/>
    <row r="357" ht="15.75" customHeight="1" x14ac:dyDescent="0.4"/>
    <row r="358" ht="15.75" customHeight="1" x14ac:dyDescent="0.4"/>
    <row r="359" ht="15.75" customHeight="1" x14ac:dyDescent="0.4"/>
    <row r="360" ht="15.75" customHeight="1" x14ac:dyDescent="0.4"/>
    <row r="361" ht="15.75" customHeight="1" x14ac:dyDescent="0.4"/>
    <row r="362" ht="15.75" customHeight="1" x14ac:dyDescent="0.4"/>
    <row r="363" ht="15.75" customHeight="1" x14ac:dyDescent="0.4"/>
    <row r="364" ht="15.75" customHeight="1" x14ac:dyDescent="0.4"/>
    <row r="365" ht="15.75" customHeight="1" x14ac:dyDescent="0.4"/>
    <row r="366" ht="15.75" customHeight="1" x14ac:dyDescent="0.4"/>
    <row r="367" ht="15.75" customHeight="1" x14ac:dyDescent="0.4"/>
    <row r="368" ht="15.75" customHeight="1" x14ac:dyDescent="0.4"/>
    <row r="369" ht="15.75" customHeight="1" x14ac:dyDescent="0.4"/>
    <row r="370" ht="15.75" customHeight="1" x14ac:dyDescent="0.4"/>
    <row r="371" ht="15.75" customHeight="1" x14ac:dyDescent="0.4"/>
    <row r="372" ht="15.75" customHeight="1" x14ac:dyDescent="0.4"/>
    <row r="373" ht="15.75" customHeight="1" x14ac:dyDescent="0.4"/>
    <row r="374" ht="15.75" customHeight="1" x14ac:dyDescent="0.4"/>
    <row r="375" ht="15.75" customHeight="1" x14ac:dyDescent="0.4"/>
    <row r="376" ht="15.75" customHeight="1" x14ac:dyDescent="0.4"/>
    <row r="377" ht="15.75" customHeight="1" x14ac:dyDescent="0.4"/>
    <row r="378" ht="15.75" customHeight="1" x14ac:dyDescent="0.4"/>
    <row r="379" ht="15.75" customHeight="1" x14ac:dyDescent="0.4"/>
    <row r="380" ht="15.75" customHeight="1" x14ac:dyDescent="0.4"/>
    <row r="381" ht="15.75" customHeight="1" x14ac:dyDescent="0.4"/>
    <row r="382" ht="15.75" customHeight="1" x14ac:dyDescent="0.4"/>
    <row r="383" ht="15.75" customHeight="1" x14ac:dyDescent="0.4"/>
    <row r="384" ht="15.75" customHeight="1" x14ac:dyDescent="0.4"/>
    <row r="385" ht="15.75" customHeight="1" x14ac:dyDescent="0.4"/>
    <row r="386" ht="15.75" customHeight="1" x14ac:dyDescent="0.4"/>
    <row r="387" ht="15.75" customHeight="1" x14ac:dyDescent="0.4"/>
    <row r="388" ht="15.75" customHeight="1" x14ac:dyDescent="0.4"/>
    <row r="389" ht="15.75" customHeight="1" x14ac:dyDescent="0.4"/>
    <row r="390" ht="15.75" customHeight="1" x14ac:dyDescent="0.4"/>
    <row r="391" ht="15.75" customHeight="1" x14ac:dyDescent="0.4"/>
    <row r="392" ht="15.75" customHeight="1" x14ac:dyDescent="0.4"/>
    <row r="393" ht="15.75" customHeight="1" x14ac:dyDescent="0.4"/>
    <row r="394" ht="15.75" customHeight="1" x14ac:dyDescent="0.4"/>
    <row r="395" ht="15.75" customHeight="1" x14ac:dyDescent="0.4"/>
    <row r="396" ht="15.75" customHeight="1" x14ac:dyDescent="0.4"/>
    <row r="397" ht="15.75" customHeight="1" x14ac:dyDescent="0.4"/>
    <row r="398" ht="15.75" customHeight="1" x14ac:dyDescent="0.4"/>
    <row r="399" ht="15.75" customHeight="1" x14ac:dyDescent="0.4"/>
    <row r="400" ht="15.75" customHeight="1" x14ac:dyDescent="0.4"/>
    <row r="401" ht="15.75" customHeight="1" x14ac:dyDescent="0.4"/>
    <row r="402" ht="15.75" customHeight="1" x14ac:dyDescent="0.4"/>
    <row r="403" ht="15.75" customHeight="1" x14ac:dyDescent="0.4"/>
    <row r="404" ht="15.75" customHeight="1" x14ac:dyDescent="0.4"/>
    <row r="405" ht="15.75" customHeight="1" x14ac:dyDescent="0.4"/>
    <row r="406" ht="15.75" customHeight="1" x14ac:dyDescent="0.4"/>
    <row r="407" ht="15.75" customHeight="1" x14ac:dyDescent="0.4"/>
    <row r="408" ht="15.75" customHeight="1" x14ac:dyDescent="0.4"/>
    <row r="409" ht="15.75" customHeight="1" x14ac:dyDescent="0.4"/>
    <row r="410" ht="15.75" customHeight="1" x14ac:dyDescent="0.4"/>
    <row r="411" ht="15.75" customHeight="1" x14ac:dyDescent="0.4"/>
    <row r="412" ht="15.75" customHeight="1" x14ac:dyDescent="0.4"/>
    <row r="413" ht="15.75" customHeight="1" x14ac:dyDescent="0.4"/>
    <row r="414" ht="15.75" customHeight="1" x14ac:dyDescent="0.4"/>
    <row r="415" ht="15.75" customHeight="1" x14ac:dyDescent="0.4"/>
    <row r="416" ht="15.75" customHeight="1" x14ac:dyDescent="0.4"/>
    <row r="417" ht="15.75" customHeight="1" x14ac:dyDescent="0.4"/>
    <row r="418" ht="15.75" customHeight="1" x14ac:dyDescent="0.4"/>
    <row r="419" ht="15.75" customHeight="1" x14ac:dyDescent="0.4"/>
    <row r="420" ht="15.75" customHeight="1" x14ac:dyDescent="0.4"/>
    <row r="421" ht="15.75" customHeight="1" x14ac:dyDescent="0.4"/>
    <row r="422" ht="15.75" customHeight="1" x14ac:dyDescent="0.4"/>
    <row r="423" ht="15.75" customHeight="1" x14ac:dyDescent="0.4"/>
    <row r="424" ht="15.75" customHeight="1" x14ac:dyDescent="0.4"/>
    <row r="425" ht="15.75" customHeight="1" x14ac:dyDescent="0.4"/>
    <row r="426" ht="15.75" customHeight="1" x14ac:dyDescent="0.4"/>
    <row r="427" ht="15.75" customHeight="1" x14ac:dyDescent="0.4"/>
    <row r="428" ht="15.75" customHeight="1" x14ac:dyDescent="0.4"/>
    <row r="429" ht="15.75" customHeight="1" x14ac:dyDescent="0.4"/>
    <row r="430" ht="15.75" customHeight="1" x14ac:dyDescent="0.4"/>
    <row r="431" ht="15.75" customHeight="1" x14ac:dyDescent="0.4"/>
    <row r="432" ht="15.75" customHeight="1" x14ac:dyDescent="0.4"/>
    <row r="433" ht="15.75" customHeight="1" x14ac:dyDescent="0.4"/>
    <row r="434" ht="15.75" customHeight="1" x14ac:dyDescent="0.4"/>
    <row r="435" ht="15.75" customHeight="1" x14ac:dyDescent="0.4"/>
    <row r="436" ht="15.75" customHeight="1" x14ac:dyDescent="0.4"/>
    <row r="437" ht="15.75" customHeight="1" x14ac:dyDescent="0.4"/>
    <row r="438" ht="15.75" customHeight="1" x14ac:dyDescent="0.4"/>
    <row r="439" ht="15.75" customHeight="1" x14ac:dyDescent="0.4"/>
    <row r="440" ht="15.75" customHeight="1" x14ac:dyDescent="0.4"/>
    <row r="441" ht="15.75" customHeight="1" x14ac:dyDescent="0.4"/>
    <row r="442" ht="15.75" customHeight="1" x14ac:dyDescent="0.4"/>
    <row r="443" ht="15.75" customHeight="1" x14ac:dyDescent="0.4"/>
    <row r="444" ht="15.75" customHeight="1" x14ac:dyDescent="0.4"/>
    <row r="445" ht="15.75" customHeight="1" x14ac:dyDescent="0.4"/>
    <row r="446" ht="15.75" customHeight="1" x14ac:dyDescent="0.4"/>
    <row r="447" ht="15.75" customHeight="1" x14ac:dyDescent="0.4"/>
    <row r="448" ht="15.75" customHeight="1" x14ac:dyDescent="0.4"/>
    <row r="449" ht="15.75" customHeight="1" x14ac:dyDescent="0.4"/>
    <row r="450" ht="15.75" customHeight="1" x14ac:dyDescent="0.4"/>
    <row r="451" ht="15.75" customHeight="1" x14ac:dyDescent="0.4"/>
    <row r="452" ht="15.75" customHeight="1" x14ac:dyDescent="0.4"/>
    <row r="453" ht="15.75" customHeight="1" x14ac:dyDescent="0.4"/>
    <row r="454" ht="15.75" customHeight="1" x14ac:dyDescent="0.4"/>
    <row r="455" ht="15.75" customHeight="1" x14ac:dyDescent="0.4"/>
    <row r="456" ht="15.75" customHeight="1" x14ac:dyDescent="0.4"/>
    <row r="457" ht="15.75" customHeight="1" x14ac:dyDescent="0.4"/>
    <row r="458" ht="15.75" customHeight="1" x14ac:dyDescent="0.4"/>
    <row r="459" ht="15.75" customHeight="1" x14ac:dyDescent="0.4"/>
    <row r="460" ht="15.75" customHeight="1" x14ac:dyDescent="0.4"/>
    <row r="461" ht="15.75" customHeight="1" x14ac:dyDescent="0.4"/>
    <row r="462" ht="15.75" customHeight="1" x14ac:dyDescent="0.4"/>
    <row r="463" ht="15.75" customHeight="1" x14ac:dyDescent="0.4"/>
    <row r="464" ht="15.75" customHeight="1" x14ac:dyDescent="0.4"/>
    <row r="465" ht="15.75" customHeight="1" x14ac:dyDescent="0.4"/>
    <row r="466" ht="15.75" customHeight="1" x14ac:dyDescent="0.4"/>
    <row r="467" ht="15.75" customHeight="1" x14ac:dyDescent="0.4"/>
    <row r="468" ht="15.75" customHeight="1" x14ac:dyDescent="0.4"/>
    <row r="469" ht="15.75" customHeight="1" x14ac:dyDescent="0.4"/>
    <row r="470" ht="15.75" customHeight="1" x14ac:dyDescent="0.4"/>
    <row r="471" ht="15.75" customHeight="1" x14ac:dyDescent="0.4"/>
    <row r="472" ht="15.75" customHeight="1" x14ac:dyDescent="0.4"/>
    <row r="473" ht="15.75" customHeight="1" x14ac:dyDescent="0.4"/>
    <row r="474" ht="15.75" customHeight="1" x14ac:dyDescent="0.4"/>
    <row r="475" ht="15.75" customHeight="1" x14ac:dyDescent="0.4"/>
    <row r="476" ht="15.75" customHeight="1" x14ac:dyDescent="0.4"/>
    <row r="477" ht="15.75" customHeight="1" x14ac:dyDescent="0.4"/>
    <row r="478" ht="15.75" customHeight="1" x14ac:dyDescent="0.4"/>
    <row r="479" ht="15.75" customHeight="1" x14ac:dyDescent="0.4"/>
    <row r="480" ht="15.75" customHeight="1" x14ac:dyDescent="0.4"/>
    <row r="481" ht="15.75" customHeight="1" x14ac:dyDescent="0.4"/>
    <row r="482" ht="15.75" customHeight="1" x14ac:dyDescent="0.4"/>
    <row r="483" ht="15.75" customHeight="1" x14ac:dyDescent="0.4"/>
    <row r="484" ht="15.75" customHeight="1" x14ac:dyDescent="0.4"/>
    <row r="485" ht="15.75" customHeight="1" x14ac:dyDescent="0.4"/>
    <row r="486" ht="15.75" customHeight="1" x14ac:dyDescent="0.4"/>
    <row r="487" ht="15.75" customHeight="1" x14ac:dyDescent="0.4"/>
    <row r="488" ht="15.75" customHeight="1" x14ac:dyDescent="0.4"/>
    <row r="489" ht="15.75" customHeight="1" x14ac:dyDescent="0.4"/>
    <row r="490" ht="15.75" customHeight="1" x14ac:dyDescent="0.4"/>
    <row r="491" ht="15.75" customHeight="1" x14ac:dyDescent="0.4"/>
    <row r="492" ht="15.75" customHeight="1" x14ac:dyDescent="0.4"/>
    <row r="493" ht="15.75" customHeight="1" x14ac:dyDescent="0.4"/>
    <row r="494" ht="15.75" customHeight="1" x14ac:dyDescent="0.4"/>
    <row r="495" ht="15.75" customHeight="1" x14ac:dyDescent="0.4"/>
    <row r="496" ht="15.75" customHeight="1" x14ac:dyDescent="0.4"/>
    <row r="497" ht="15.75" customHeight="1" x14ac:dyDescent="0.4"/>
    <row r="498" ht="15.75" customHeight="1" x14ac:dyDescent="0.4"/>
    <row r="499" ht="15.75" customHeight="1" x14ac:dyDescent="0.4"/>
    <row r="500" ht="15.75" customHeight="1" x14ac:dyDescent="0.4"/>
    <row r="501" ht="15.75" customHeight="1" x14ac:dyDescent="0.4"/>
    <row r="502" ht="15.75" customHeight="1" x14ac:dyDescent="0.4"/>
    <row r="503" ht="15.75" customHeight="1" x14ac:dyDescent="0.4"/>
    <row r="504" ht="15.75" customHeight="1" x14ac:dyDescent="0.4"/>
    <row r="505" ht="15.75" customHeight="1" x14ac:dyDescent="0.4"/>
    <row r="506" ht="15.75" customHeight="1" x14ac:dyDescent="0.4"/>
    <row r="507" ht="15.75" customHeight="1" x14ac:dyDescent="0.4"/>
    <row r="508" ht="15.75" customHeight="1" x14ac:dyDescent="0.4"/>
    <row r="509" ht="15.75" customHeight="1" x14ac:dyDescent="0.4"/>
    <row r="510" ht="15.75" customHeight="1" x14ac:dyDescent="0.4"/>
    <row r="511" ht="15.75" customHeight="1" x14ac:dyDescent="0.4"/>
    <row r="512" ht="15.75" customHeight="1" x14ac:dyDescent="0.4"/>
    <row r="513" ht="15.75" customHeight="1" x14ac:dyDescent="0.4"/>
    <row r="514" ht="15.75" customHeight="1" x14ac:dyDescent="0.4"/>
    <row r="515" ht="15.75" customHeight="1" x14ac:dyDescent="0.4"/>
    <row r="516" ht="15.75" customHeight="1" x14ac:dyDescent="0.4"/>
    <row r="517" ht="15.75" customHeight="1" x14ac:dyDescent="0.4"/>
    <row r="518" ht="15.75" customHeight="1" x14ac:dyDescent="0.4"/>
    <row r="519" ht="15.75" customHeight="1" x14ac:dyDescent="0.4"/>
    <row r="520" ht="15.75" customHeight="1" x14ac:dyDescent="0.4"/>
    <row r="521" ht="15.75" customHeight="1" x14ac:dyDescent="0.4"/>
    <row r="522" ht="15.75" customHeight="1" x14ac:dyDescent="0.4"/>
    <row r="523" ht="15.75" customHeight="1" x14ac:dyDescent="0.4"/>
    <row r="524" ht="15.75" customHeight="1" x14ac:dyDescent="0.4"/>
    <row r="525" ht="15.75" customHeight="1" x14ac:dyDescent="0.4"/>
    <row r="526" ht="15.75" customHeight="1" x14ac:dyDescent="0.4"/>
    <row r="527" ht="15.75" customHeight="1" x14ac:dyDescent="0.4"/>
    <row r="528" ht="15.75" customHeight="1" x14ac:dyDescent="0.4"/>
    <row r="529" ht="15.75" customHeight="1" x14ac:dyDescent="0.4"/>
    <row r="530" ht="15.75" customHeight="1" x14ac:dyDescent="0.4"/>
    <row r="531" ht="15.75" customHeight="1" x14ac:dyDescent="0.4"/>
    <row r="532" ht="15.75" customHeight="1" x14ac:dyDescent="0.4"/>
    <row r="533" ht="15.75" customHeight="1" x14ac:dyDescent="0.4"/>
    <row r="534" ht="15.75" customHeight="1" x14ac:dyDescent="0.4"/>
    <row r="535" ht="15.75" customHeight="1" x14ac:dyDescent="0.4"/>
    <row r="536" ht="15.75" customHeight="1" x14ac:dyDescent="0.4"/>
    <row r="537" ht="15.75" customHeight="1" x14ac:dyDescent="0.4"/>
    <row r="538" ht="15.75" customHeight="1" x14ac:dyDescent="0.4"/>
    <row r="539" ht="15.75" customHeight="1" x14ac:dyDescent="0.4"/>
    <row r="540" ht="15.75" customHeight="1" x14ac:dyDescent="0.4"/>
    <row r="541" ht="15.75" customHeight="1" x14ac:dyDescent="0.4"/>
    <row r="542" ht="15.75" customHeight="1" x14ac:dyDescent="0.4"/>
    <row r="543" ht="15.75" customHeight="1" x14ac:dyDescent="0.4"/>
    <row r="544" ht="15.75" customHeight="1" x14ac:dyDescent="0.4"/>
    <row r="545" ht="15.75" customHeight="1" x14ac:dyDescent="0.4"/>
    <row r="546" ht="15.75" customHeight="1" x14ac:dyDescent="0.4"/>
    <row r="547" ht="15.75" customHeight="1" x14ac:dyDescent="0.4"/>
    <row r="548" ht="15.75" customHeight="1" x14ac:dyDescent="0.4"/>
    <row r="549" ht="15.75" customHeight="1" x14ac:dyDescent="0.4"/>
    <row r="550" ht="15.75" customHeight="1" x14ac:dyDescent="0.4"/>
    <row r="551" ht="15.75" customHeight="1" x14ac:dyDescent="0.4"/>
    <row r="552" ht="15.75" customHeight="1" x14ac:dyDescent="0.4"/>
    <row r="553" ht="15.75" customHeight="1" x14ac:dyDescent="0.4"/>
    <row r="554" ht="15.75" customHeight="1" x14ac:dyDescent="0.4"/>
    <row r="555" ht="15.75" customHeight="1" x14ac:dyDescent="0.4"/>
    <row r="556" ht="15.75" customHeight="1" x14ac:dyDescent="0.4"/>
    <row r="557" ht="15.75" customHeight="1" x14ac:dyDescent="0.4"/>
    <row r="558" ht="15.75" customHeight="1" x14ac:dyDescent="0.4"/>
    <row r="559" ht="15.75" customHeight="1" x14ac:dyDescent="0.4"/>
    <row r="560" ht="15.75" customHeight="1" x14ac:dyDescent="0.4"/>
    <row r="561" ht="15.75" customHeight="1" x14ac:dyDescent="0.4"/>
    <row r="562" ht="15.75" customHeight="1" x14ac:dyDescent="0.4"/>
    <row r="563" ht="15.75" customHeight="1" x14ac:dyDescent="0.4"/>
    <row r="564" ht="15.75" customHeight="1" x14ac:dyDescent="0.4"/>
    <row r="565" ht="15.75" customHeight="1" x14ac:dyDescent="0.4"/>
    <row r="566" ht="15.75" customHeight="1" x14ac:dyDescent="0.4"/>
    <row r="567" ht="15.75" customHeight="1" x14ac:dyDescent="0.4"/>
    <row r="568" ht="15.75" customHeight="1" x14ac:dyDescent="0.4"/>
    <row r="569" ht="15.75" customHeight="1" x14ac:dyDescent="0.4"/>
    <row r="570" ht="15.75" customHeight="1" x14ac:dyDescent="0.4"/>
    <row r="571" ht="15.75" customHeight="1" x14ac:dyDescent="0.4"/>
    <row r="572" ht="15.75" customHeight="1" x14ac:dyDescent="0.4"/>
    <row r="573" ht="15.75" customHeight="1" x14ac:dyDescent="0.4"/>
    <row r="574" ht="15.75" customHeight="1" x14ac:dyDescent="0.4"/>
    <row r="575" ht="15.75" customHeight="1" x14ac:dyDescent="0.4"/>
    <row r="576" ht="15.75" customHeight="1" x14ac:dyDescent="0.4"/>
    <row r="577" ht="15.75" customHeight="1" x14ac:dyDescent="0.4"/>
    <row r="578" ht="15.75" customHeight="1" x14ac:dyDescent="0.4"/>
    <row r="579" ht="15.75" customHeight="1" x14ac:dyDescent="0.4"/>
    <row r="580" ht="15.75" customHeight="1" x14ac:dyDescent="0.4"/>
    <row r="581" ht="15.75" customHeight="1" x14ac:dyDescent="0.4"/>
    <row r="582" ht="15.75" customHeight="1" x14ac:dyDescent="0.4"/>
    <row r="583" ht="15.75" customHeight="1" x14ac:dyDescent="0.4"/>
    <row r="584" ht="15.75" customHeight="1" x14ac:dyDescent="0.4"/>
    <row r="585" ht="15.75" customHeight="1" x14ac:dyDescent="0.4"/>
    <row r="586" ht="15.75" customHeight="1" x14ac:dyDescent="0.4"/>
    <row r="587" ht="15.75" customHeight="1" x14ac:dyDescent="0.4"/>
    <row r="588" ht="15.75" customHeight="1" x14ac:dyDescent="0.4"/>
    <row r="589" ht="15.75" customHeight="1" x14ac:dyDescent="0.4"/>
    <row r="590" ht="15.75" customHeight="1" x14ac:dyDescent="0.4"/>
    <row r="591" ht="15.75" customHeight="1" x14ac:dyDescent="0.4"/>
    <row r="592" ht="15.75" customHeight="1" x14ac:dyDescent="0.4"/>
    <row r="593" ht="15.75" customHeight="1" x14ac:dyDescent="0.4"/>
    <row r="594" ht="15.75" customHeight="1" x14ac:dyDescent="0.4"/>
    <row r="595" ht="15.75" customHeight="1" x14ac:dyDescent="0.4"/>
    <row r="596" ht="15.75" customHeight="1" x14ac:dyDescent="0.4"/>
    <row r="597" ht="15.75" customHeight="1" x14ac:dyDescent="0.4"/>
    <row r="598" ht="15.75" customHeight="1" x14ac:dyDescent="0.4"/>
    <row r="599" ht="15.75" customHeight="1" x14ac:dyDescent="0.4"/>
    <row r="600" ht="15.75" customHeight="1" x14ac:dyDescent="0.4"/>
    <row r="601" ht="15.75" customHeight="1" x14ac:dyDescent="0.4"/>
    <row r="602" ht="15.75" customHeight="1" x14ac:dyDescent="0.4"/>
    <row r="603" ht="15.75" customHeight="1" x14ac:dyDescent="0.4"/>
    <row r="604" ht="15.75" customHeight="1" x14ac:dyDescent="0.4"/>
    <row r="605" ht="15.75" customHeight="1" x14ac:dyDescent="0.4"/>
    <row r="606" ht="15.75" customHeight="1" x14ac:dyDescent="0.4"/>
    <row r="607" ht="15.75" customHeight="1" x14ac:dyDescent="0.4"/>
    <row r="608" ht="15.75" customHeight="1" x14ac:dyDescent="0.4"/>
    <row r="609" ht="15.75" customHeight="1" x14ac:dyDescent="0.4"/>
    <row r="610" ht="15.75" customHeight="1" x14ac:dyDescent="0.4"/>
    <row r="611" ht="15.75" customHeight="1" x14ac:dyDescent="0.4"/>
    <row r="612" ht="15.75" customHeight="1" x14ac:dyDescent="0.4"/>
    <row r="613" ht="15.75" customHeight="1" x14ac:dyDescent="0.4"/>
    <row r="614" ht="15.75" customHeight="1" x14ac:dyDescent="0.4"/>
    <row r="615" ht="15.75" customHeight="1" x14ac:dyDescent="0.4"/>
    <row r="616" ht="15.75" customHeight="1" x14ac:dyDescent="0.4"/>
    <row r="617" ht="15.75" customHeight="1" x14ac:dyDescent="0.4"/>
    <row r="618" ht="15.75" customHeight="1" x14ac:dyDescent="0.4"/>
    <row r="619" ht="15.75" customHeight="1" x14ac:dyDescent="0.4"/>
    <row r="620" ht="15.75" customHeight="1" x14ac:dyDescent="0.4"/>
    <row r="621" ht="15.75" customHeight="1" x14ac:dyDescent="0.4"/>
    <row r="622" ht="15.75" customHeight="1" x14ac:dyDescent="0.4"/>
    <row r="623" ht="15.75" customHeight="1" x14ac:dyDescent="0.4"/>
    <row r="624" ht="15.75" customHeight="1" x14ac:dyDescent="0.4"/>
    <row r="625" ht="15.75" customHeight="1" x14ac:dyDescent="0.4"/>
    <row r="626" ht="15.75" customHeight="1" x14ac:dyDescent="0.4"/>
    <row r="627" ht="15.75" customHeight="1" x14ac:dyDescent="0.4"/>
    <row r="628" ht="15.75" customHeight="1" x14ac:dyDescent="0.4"/>
    <row r="629" ht="15.75" customHeight="1" x14ac:dyDescent="0.4"/>
    <row r="630" ht="15.75" customHeight="1" x14ac:dyDescent="0.4"/>
    <row r="631" ht="15.75" customHeight="1" x14ac:dyDescent="0.4"/>
    <row r="632" ht="15.75" customHeight="1" x14ac:dyDescent="0.4"/>
    <row r="633" ht="15.75" customHeight="1" x14ac:dyDescent="0.4"/>
    <row r="634" ht="15.75" customHeight="1" x14ac:dyDescent="0.4"/>
    <row r="635" ht="15.75" customHeight="1" x14ac:dyDescent="0.4"/>
    <row r="636" ht="15.75" customHeight="1" x14ac:dyDescent="0.4"/>
    <row r="637" ht="15.75" customHeight="1" x14ac:dyDescent="0.4"/>
    <row r="638" ht="15.75" customHeight="1" x14ac:dyDescent="0.4"/>
    <row r="639" ht="15.75" customHeight="1" x14ac:dyDescent="0.4"/>
    <row r="640" ht="15.75" customHeight="1" x14ac:dyDescent="0.4"/>
    <row r="641" ht="15.75" customHeight="1" x14ac:dyDescent="0.4"/>
    <row r="642" ht="15.75" customHeight="1" x14ac:dyDescent="0.4"/>
    <row r="643" ht="15.75" customHeight="1" x14ac:dyDescent="0.4"/>
    <row r="644" ht="15.75" customHeight="1" x14ac:dyDescent="0.4"/>
    <row r="645" ht="15.75" customHeight="1" x14ac:dyDescent="0.4"/>
    <row r="646" ht="15.75" customHeight="1" x14ac:dyDescent="0.4"/>
    <row r="647" ht="15.75" customHeight="1" x14ac:dyDescent="0.4"/>
    <row r="648" ht="15.75" customHeight="1" x14ac:dyDescent="0.4"/>
    <row r="649" ht="15.75" customHeight="1" x14ac:dyDescent="0.4"/>
    <row r="650" ht="15.75" customHeight="1" x14ac:dyDescent="0.4"/>
    <row r="651" ht="15.75" customHeight="1" x14ac:dyDescent="0.4"/>
    <row r="652" ht="15.75" customHeight="1" x14ac:dyDescent="0.4"/>
    <row r="653" ht="15.75" customHeight="1" x14ac:dyDescent="0.4"/>
    <row r="654" ht="15.75" customHeight="1" x14ac:dyDescent="0.4"/>
    <row r="655" ht="15.75" customHeight="1" x14ac:dyDescent="0.4"/>
    <row r="656" ht="15.75" customHeight="1" x14ac:dyDescent="0.4"/>
    <row r="657" ht="15.75" customHeight="1" x14ac:dyDescent="0.4"/>
    <row r="658" ht="15.75" customHeight="1" x14ac:dyDescent="0.4"/>
    <row r="659" ht="15.75" customHeight="1" x14ac:dyDescent="0.4"/>
    <row r="660" ht="15.75" customHeight="1" x14ac:dyDescent="0.4"/>
    <row r="661" ht="15.75" customHeight="1" x14ac:dyDescent="0.4"/>
    <row r="662" ht="15.75" customHeight="1" x14ac:dyDescent="0.4"/>
    <row r="663" ht="15.75" customHeight="1" x14ac:dyDescent="0.4"/>
    <row r="664" ht="15.75" customHeight="1" x14ac:dyDescent="0.4"/>
    <row r="665" ht="15.75" customHeight="1" x14ac:dyDescent="0.4"/>
    <row r="666" ht="15.75" customHeight="1" x14ac:dyDescent="0.4"/>
    <row r="667" ht="15.75" customHeight="1" x14ac:dyDescent="0.4"/>
    <row r="668" ht="15.75" customHeight="1" x14ac:dyDescent="0.4"/>
    <row r="669" ht="15.75" customHeight="1" x14ac:dyDescent="0.4"/>
    <row r="670" ht="15.75" customHeight="1" x14ac:dyDescent="0.4"/>
    <row r="671" ht="15.75" customHeight="1" x14ac:dyDescent="0.4"/>
    <row r="672" ht="15.75" customHeight="1" x14ac:dyDescent="0.4"/>
    <row r="673" ht="15.75" customHeight="1" x14ac:dyDescent="0.4"/>
    <row r="674" ht="15.75" customHeight="1" x14ac:dyDescent="0.4"/>
    <row r="675" ht="15.75" customHeight="1" x14ac:dyDescent="0.4"/>
    <row r="676" ht="15.75" customHeight="1" x14ac:dyDescent="0.4"/>
    <row r="677" ht="15.75" customHeight="1" x14ac:dyDescent="0.4"/>
    <row r="678" ht="15.75" customHeight="1" x14ac:dyDescent="0.4"/>
    <row r="679" ht="15.75" customHeight="1" x14ac:dyDescent="0.4"/>
    <row r="680" ht="15.75" customHeight="1" x14ac:dyDescent="0.4"/>
    <row r="681" ht="15.75" customHeight="1" x14ac:dyDescent="0.4"/>
    <row r="682" ht="15.75" customHeight="1" x14ac:dyDescent="0.4"/>
    <row r="683" ht="15.75" customHeight="1" x14ac:dyDescent="0.4"/>
    <row r="684" ht="15.75" customHeight="1" x14ac:dyDescent="0.4"/>
    <row r="685" ht="15.75" customHeight="1" x14ac:dyDescent="0.4"/>
    <row r="686" ht="15.75" customHeight="1" x14ac:dyDescent="0.4"/>
    <row r="687" ht="15.75" customHeight="1" x14ac:dyDescent="0.4"/>
    <row r="688" ht="15.75" customHeight="1" x14ac:dyDescent="0.4"/>
    <row r="689" ht="15.75" customHeight="1" x14ac:dyDescent="0.4"/>
    <row r="690" ht="15.75" customHeight="1" x14ac:dyDescent="0.4"/>
    <row r="691" ht="15.75" customHeight="1" x14ac:dyDescent="0.4"/>
    <row r="692" ht="15.75" customHeight="1" x14ac:dyDescent="0.4"/>
    <row r="693" ht="15.75" customHeight="1" x14ac:dyDescent="0.4"/>
    <row r="694" ht="15.75" customHeight="1" x14ac:dyDescent="0.4"/>
    <row r="695" ht="15.75" customHeight="1" x14ac:dyDescent="0.4"/>
    <row r="696" ht="15.75" customHeight="1" x14ac:dyDescent="0.4"/>
    <row r="697" ht="15.75" customHeight="1" x14ac:dyDescent="0.4"/>
    <row r="698" ht="15.75" customHeight="1" x14ac:dyDescent="0.4"/>
    <row r="699" ht="15.75" customHeight="1" x14ac:dyDescent="0.4"/>
    <row r="700" ht="15.75" customHeight="1" x14ac:dyDescent="0.4"/>
    <row r="701" ht="15.75" customHeight="1" x14ac:dyDescent="0.4"/>
    <row r="702" ht="15.75" customHeight="1" x14ac:dyDescent="0.4"/>
    <row r="703" ht="15.75" customHeight="1" x14ac:dyDescent="0.4"/>
    <row r="704" ht="15.75" customHeight="1" x14ac:dyDescent="0.4"/>
    <row r="705" ht="15.75" customHeight="1" x14ac:dyDescent="0.4"/>
    <row r="706" ht="15.75" customHeight="1" x14ac:dyDescent="0.4"/>
    <row r="707" ht="15.75" customHeight="1" x14ac:dyDescent="0.4"/>
    <row r="708" ht="15.75" customHeight="1" x14ac:dyDescent="0.4"/>
    <row r="709" ht="15.75" customHeight="1" x14ac:dyDescent="0.4"/>
    <row r="710" ht="15.75" customHeight="1" x14ac:dyDescent="0.4"/>
    <row r="711" ht="15.75" customHeight="1" x14ac:dyDescent="0.4"/>
    <row r="712" ht="15.75" customHeight="1" x14ac:dyDescent="0.4"/>
    <row r="713" ht="15.75" customHeight="1" x14ac:dyDescent="0.4"/>
    <row r="714" ht="15.75" customHeight="1" x14ac:dyDescent="0.4"/>
    <row r="715" ht="15.75" customHeight="1" x14ac:dyDescent="0.4"/>
    <row r="716" ht="15.75" customHeight="1" x14ac:dyDescent="0.4"/>
    <row r="717" ht="15.75" customHeight="1" x14ac:dyDescent="0.4"/>
    <row r="718" ht="15.75" customHeight="1" x14ac:dyDescent="0.4"/>
    <row r="719" ht="15.75" customHeight="1" x14ac:dyDescent="0.4"/>
    <row r="720" ht="15.75" customHeight="1" x14ac:dyDescent="0.4"/>
    <row r="721" ht="15.75" customHeight="1" x14ac:dyDescent="0.4"/>
    <row r="722" ht="15.75" customHeight="1" x14ac:dyDescent="0.4"/>
    <row r="723" ht="15.75" customHeight="1" x14ac:dyDescent="0.4"/>
    <row r="724" ht="15.75" customHeight="1" x14ac:dyDescent="0.4"/>
    <row r="725" ht="15.75" customHeight="1" x14ac:dyDescent="0.4"/>
    <row r="726" ht="15.75" customHeight="1" x14ac:dyDescent="0.4"/>
    <row r="727" ht="15.75" customHeight="1" x14ac:dyDescent="0.4"/>
    <row r="728" ht="15.75" customHeight="1" x14ac:dyDescent="0.4"/>
    <row r="729" ht="15.75" customHeight="1" x14ac:dyDescent="0.4"/>
    <row r="730" ht="15.75" customHeight="1" x14ac:dyDescent="0.4"/>
    <row r="731" ht="15.75" customHeight="1" x14ac:dyDescent="0.4"/>
    <row r="732" ht="15.75" customHeight="1" x14ac:dyDescent="0.4"/>
    <row r="733" ht="15.75" customHeight="1" x14ac:dyDescent="0.4"/>
    <row r="734" ht="15.75" customHeight="1" x14ac:dyDescent="0.4"/>
    <row r="735" ht="15.75" customHeight="1" x14ac:dyDescent="0.4"/>
    <row r="736" ht="15.75" customHeight="1" x14ac:dyDescent="0.4"/>
    <row r="737" ht="15.75" customHeight="1" x14ac:dyDescent="0.4"/>
    <row r="738" ht="15.75" customHeight="1" x14ac:dyDescent="0.4"/>
    <row r="739" ht="15.75" customHeight="1" x14ac:dyDescent="0.4"/>
    <row r="740" ht="15.75" customHeight="1" x14ac:dyDescent="0.4"/>
    <row r="741" ht="15.75" customHeight="1" x14ac:dyDescent="0.4"/>
    <row r="742" ht="15.75" customHeight="1" x14ac:dyDescent="0.4"/>
    <row r="743" ht="15.75" customHeight="1" x14ac:dyDescent="0.4"/>
    <row r="744" ht="15.75" customHeight="1" x14ac:dyDescent="0.4"/>
    <row r="745" ht="15.75" customHeight="1" x14ac:dyDescent="0.4"/>
    <row r="746" ht="15.75" customHeight="1" x14ac:dyDescent="0.4"/>
    <row r="747" ht="15.75" customHeight="1" x14ac:dyDescent="0.4"/>
    <row r="748" ht="15.75" customHeight="1" x14ac:dyDescent="0.4"/>
    <row r="749" ht="15.75" customHeight="1" x14ac:dyDescent="0.4"/>
    <row r="750" ht="15.75" customHeight="1" x14ac:dyDescent="0.4"/>
    <row r="751" ht="15.75" customHeight="1" x14ac:dyDescent="0.4"/>
    <row r="752" ht="15.75" customHeight="1" x14ac:dyDescent="0.4"/>
    <row r="753" ht="15.75" customHeight="1" x14ac:dyDescent="0.4"/>
    <row r="754" ht="15.75" customHeight="1" x14ac:dyDescent="0.4"/>
    <row r="755" ht="15.75" customHeight="1" x14ac:dyDescent="0.4"/>
    <row r="756" ht="15.75" customHeight="1" x14ac:dyDescent="0.4"/>
    <row r="757" ht="15.75" customHeight="1" x14ac:dyDescent="0.4"/>
    <row r="758" ht="15.75" customHeight="1" x14ac:dyDescent="0.4"/>
    <row r="759" ht="15.75" customHeight="1" x14ac:dyDescent="0.4"/>
    <row r="760" ht="15.75" customHeight="1" x14ac:dyDescent="0.4"/>
    <row r="761" ht="15.75" customHeight="1" x14ac:dyDescent="0.4"/>
    <row r="762" ht="15.75" customHeight="1" x14ac:dyDescent="0.4"/>
    <row r="763" ht="15.75" customHeight="1" x14ac:dyDescent="0.4"/>
    <row r="764" ht="15.75" customHeight="1" x14ac:dyDescent="0.4"/>
    <row r="765" ht="15.75" customHeight="1" x14ac:dyDescent="0.4"/>
    <row r="766" ht="15.75" customHeight="1" x14ac:dyDescent="0.4"/>
    <row r="767" ht="15.75" customHeight="1" x14ac:dyDescent="0.4"/>
    <row r="768" ht="15.75" customHeight="1" x14ac:dyDescent="0.4"/>
    <row r="769" ht="15.75" customHeight="1" x14ac:dyDescent="0.4"/>
    <row r="770" ht="15.75" customHeight="1" x14ac:dyDescent="0.4"/>
    <row r="771" ht="15.75" customHeight="1" x14ac:dyDescent="0.4"/>
    <row r="772" ht="15.75" customHeight="1" x14ac:dyDescent="0.4"/>
    <row r="773" ht="15.75" customHeight="1" x14ac:dyDescent="0.4"/>
    <row r="774" ht="15.75" customHeight="1" x14ac:dyDescent="0.4"/>
    <row r="775" ht="15.75" customHeight="1" x14ac:dyDescent="0.4"/>
    <row r="776" ht="15.75" customHeight="1" x14ac:dyDescent="0.4"/>
    <row r="777" ht="15.75" customHeight="1" x14ac:dyDescent="0.4"/>
    <row r="778" ht="15.75" customHeight="1" x14ac:dyDescent="0.4"/>
    <row r="779" ht="15.75" customHeight="1" x14ac:dyDescent="0.4"/>
    <row r="780" ht="15.75" customHeight="1" x14ac:dyDescent="0.4"/>
    <row r="781" ht="15.75" customHeight="1" x14ac:dyDescent="0.4"/>
    <row r="782" ht="15.75" customHeight="1" x14ac:dyDescent="0.4"/>
    <row r="783" ht="15.75" customHeight="1" x14ac:dyDescent="0.4"/>
    <row r="784" ht="15.75" customHeight="1" x14ac:dyDescent="0.4"/>
    <row r="785" ht="15.75" customHeight="1" x14ac:dyDescent="0.4"/>
    <row r="786" ht="15.75" customHeight="1" x14ac:dyDescent="0.4"/>
    <row r="787" ht="15.75" customHeight="1" x14ac:dyDescent="0.4"/>
    <row r="788" ht="15.75" customHeight="1" x14ac:dyDescent="0.4"/>
    <row r="789" ht="15.75" customHeight="1" x14ac:dyDescent="0.4"/>
    <row r="790" ht="15.75" customHeight="1" x14ac:dyDescent="0.4"/>
    <row r="791" ht="15.75" customHeight="1" x14ac:dyDescent="0.4"/>
    <row r="792" ht="15.75" customHeight="1" x14ac:dyDescent="0.4"/>
    <row r="793" ht="15.75" customHeight="1" x14ac:dyDescent="0.4"/>
    <row r="794" ht="15.75" customHeight="1" x14ac:dyDescent="0.4"/>
    <row r="795" ht="15.75" customHeight="1" x14ac:dyDescent="0.4"/>
    <row r="796" ht="15.75" customHeight="1" x14ac:dyDescent="0.4"/>
    <row r="797" ht="15.75" customHeight="1" x14ac:dyDescent="0.4"/>
    <row r="798" ht="15.75" customHeight="1" x14ac:dyDescent="0.4"/>
    <row r="799" ht="15.75" customHeight="1" x14ac:dyDescent="0.4"/>
    <row r="800" ht="15.75" customHeight="1" x14ac:dyDescent="0.4"/>
    <row r="801" ht="15.75" customHeight="1" x14ac:dyDescent="0.4"/>
    <row r="802" ht="15.75" customHeight="1" x14ac:dyDescent="0.4"/>
    <row r="803" ht="15.75" customHeight="1" x14ac:dyDescent="0.4"/>
    <row r="804" ht="15.75" customHeight="1" x14ac:dyDescent="0.4"/>
    <row r="805" ht="15.75" customHeight="1" x14ac:dyDescent="0.4"/>
    <row r="806" ht="15.75" customHeight="1" x14ac:dyDescent="0.4"/>
    <row r="807" ht="15.75" customHeight="1" x14ac:dyDescent="0.4"/>
    <row r="808" ht="15.75" customHeight="1" x14ac:dyDescent="0.4"/>
    <row r="809" ht="15.75" customHeight="1" x14ac:dyDescent="0.4"/>
    <row r="810" ht="15.75" customHeight="1" x14ac:dyDescent="0.4"/>
    <row r="811" ht="15.75" customHeight="1" x14ac:dyDescent="0.4"/>
    <row r="812" ht="15.75" customHeight="1" x14ac:dyDescent="0.4"/>
    <row r="813" ht="15.75" customHeight="1" x14ac:dyDescent="0.4"/>
    <row r="814" ht="15.75" customHeight="1" x14ac:dyDescent="0.4"/>
    <row r="815" ht="15.75" customHeight="1" x14ac:dyDescent="0.4"/>
    <row r="816" ht="15.75" customHeight="1" x14ac:dyDescent="0.4"/>
    <row r="817" ht="15.75" customHeight="1" x14ac:dyDescent="0.4"/>
    <row r="818" ht="15.75" customHeight="1" x14ac:dyDescent="0.4"/>
    <row r="819" ht="15.75" customHeight="1" x14ac:dyDescent="0.4"/>
    <row r="820" ht="15.75" customHeight="1" x14ac:dyDescent="0.4"/>
    <row r="821" ht="15.75" customHeight="1" x14ac:dyDescent="0.4"/>
    <row r="822" ht="15.75" customHeight="1" x14ac:dyDescent="0.4"/>
    <row r="823" ht="15.75" customHeight="1" x14ac:dyDescent="0.4"/>
    <row r="824" ht="15.75" customHeight="1" x14ac:dyDescent="0.4"/>
    <row r="825" ht="15.75" customHeight="1" x14ac:dyDescent="0.4"/>
    <row r="826" ht="15.75" customHeight="1" x14ac:dyDescent="0.4"/>
    <row r="827" ht="15.75" customHeight="1" x14ac:dyDescent="0.4"/>
    <row r="828" ht="15.75" customHeight="1" x14ac:dyDescent="0.4"/>
    <row r="829" ht="15.75" customHeight="1" x14ac:dyDescent="0.4"/>
    <row r="830" ht="15.75" customHeight="1" x14ac:dyDescent="0.4"/>
    <row r="831" ht="15.75" customHeight="1" x14ac:dyDescent="0.4"/>
    <row r="832" ht="15.75" customHeight="1" x14ac:dyDescent="0.4"/>
    <row r="833" ht="15.75" customHeight="1" x14ac:dyDescent="0.4"/>
    <row r="834" ht="15.75" customHeight="1" x14ac:dyDescent="0.4"/>
    <row r="835" ht="15.75" customHeight="1" x14ac:dyDescent="0.4"/>
    <row r="836" ht="15.75" customHeight="1" x14ac:dyDescent="0.4"/>
    <row r="837" ht="15.75" customHeight="1" x14ac:dyDescent="0.4"/>
    <row r="838" ht="15.75" customHeight="1" x14ac:dyDescent="0.4"/>
    <row r="839" ht="15.75" customHeight="1" x14ac:dyDescent="0.4"/>
    <row r="840" ht="15.75" customHeight="1" x14ac:dyDescent="0.4"/>
    <row r="841" ht="15.75" customHeight="1" x14ac:dyDescent="0.4"/>
    <row r="842" ht="15.75" customHeight="1" x14ac:dyDescent="0.4"/>
    <row r="843" ht="15.75" customHeight="1" x14ac:dyDescent="0.4"/>
    <row r="844" ht="15.75" customHeight="1" x14ac:dyDescent="0.4"/>
    <row r="845" ht="15.75" customHeight="1" x14ac:dyDescent="0.4"/>
    <row r="846" ht="15.75" customHeight="1" x14ac:dyDescent="0.4"/>
    <row r="847" ht="15.75" customHeight="1" x14ac:dyDescent="0.4"/>
    <row r="848" ht="15.75" customHeight="1" x14ac:dyDescent="0.4"/>
    <row r="849" ht="15.75" customHeight="1" x14ac:dyDescent="0.4"/>
    <row r="850" ht="15.75" customHeight="1" x14ac:dyDescent="0.4"/>
    <row r="851" ht="15.75" customHeight="1" x14ac:dyDescent="0.4"/>
    <row r="852" ht="15.75" customHeight="1" x14ac:dyDescent="0.4"/>
    <row r="853" ht="15.75" customHeight="1" x14ac:dyDescent="0.4"/>
    <row r="854" ht="15.75" customHeight="1" x14ac:dyDescent="0.4"/>
    <row r="855" ht="15.75" customHeight="1" x14ac:dyDescent="0.4"/>
    <row r="856" ht="15.75" customHeight="1" x14ac:dyDescent="0.4"/>
    <row r="857" ht="15.75" customHeight="1" x14ac:dyDescent="0.4"/>
    <row r="858" ht="15.75" customHeight="1" x14ac:dyDescent="0.4"/>
    <row r="859" ht="15.75" customHeight="1" x14ac:dyDescent="0.4"/>
    <row r="860" ht="15.75" customHeight="1" x14ac:dyDescent="0.4"/>
    <row r="861" ht="15.75" customHeight="1" x14ac:dyDescent="0.4"/>
    <row r="862" ht="15.75" customHeight="1" x14ac:dyDescent="0.4"/>
    <row r="863" ht="15.75" customHeight="1" x14ac:dyDescent="0.4"/>
    <row r="864" ht="15.75" customHeight="1" x14ac:dyDescent="0.4"/>
    <row r="865" ht="15.75" customHeight="1" x14ac:dyDescent="0.4"/>
    <row r="866" ht="15.75" customHeight="1" x14ac:dyDescent="0.4"/>
    <row r="867" ht="15.75" customHeight="1" x14ac:dyDescent="0.4"/>
    <row r="868" ht="15.75" customHeight="1" x14ac:dyDescent="0.4"/>
    <row r="869" ht="15.75" customHeight="1" x14ac:dyDescent="0.4"/>
    <row r="870" ht="15.75" customHeight="1" x14ac:dyDescent="0.4"/>
    <row r="871" ht="15.75" customHeight="1" x14ac:dyDescent="0.4"/>
    <row r="872" ht="15.75" customHeight="1" x14ac:dyDescent="0.4"/>
    <row r="873" ht="15.75" customHeight="1" x14ac:dyDescent="0.4"/>
    <row r="874" ht="15.75" customHeight="1" x14ac:dyDescent="0.4"/>
    <row r="875" ht="15.75" customHeight="1" x14ac:dyDescent="0.4"/>
    <row r="876" ht="15.75" customHeight="1" x14ac:dyDescent="0.4"/>
    <row r="877" ht="15.75" customHeight="1" x14ac:dyDescent="0.4"/>
    <row r="878" ht="15.75" customHeight="1" x14ac:dyDescent="0.4"/>
    <row r="879" ht="15.75" customHeight="1" x14ac:dyDescent="0.4"/>
    <row r="880" ht="15.75" customHeight="1" x14ac:dyDescent="0.4"/>
    <row r="881" ht="15.75" customHeight="1" x14ac:dyDescent="0.4"/>
    <row r="882" ht="15.75" customHeight="1" x14ac:dyDescent="0.4"/>
    <row r="883" ht="15.75" customHeight="1" x14ac:dyDescent="0.4"/>
    <row r="884" ht="15.75" customHeight="1" x14ac:dyDescent="0.4"/>
    <row r="885" ht="15.75" customHeight="1" x14ac:dyDescent="0.4"/>
    <row r="886" ht="15.75" customHeight="1" x14ac:dyDescent="0.4"/>
    <row r="887" ht="15.75" customHeight="1" x14ac:dyDescent="0.4"/>
    <row r="888" ht="15.75" customHeight="1" x14ac:dyDescent="0.4"/>
    <row r="889" ht="15.75" customHeight="1" x14ac:dyDescent="0.4"/>
    <row r="890" ht="15.75" customHeight="1" x14ac:dyDescent="0.4"/>
    <row r="891" ht="15.75" customHeight="1" x14ac:dyDescent="0.4"/>
    <row r="892" ht="15.75" customHeight="1" x14ac:dyDescent="0.4"/>
    <row r="893" ht="15.75" customHeight="1" x14ac:dyDescent="0.4"/>
    <row r="894" ht="15.75" customHeight="1" x14ac:dyDescent="0.4"/>
    <row r="895" ht="15.75" customHeight="1" x14ac:dyDescent="0.4"/>
    <row r="896" ht="15.75" customHeight="1" x14ac:dyDescent="0.4"/>
    <row r="897" ht="15.75" customHeight="1" x14ac:dyDescent="0.4"/>
    <row r="898" ht="15.75" customHeight="1" x14ac:dyDescent="0.4"/>
    <row r="899" ht="15.75" customHeight="1" x14ac:dyDescent="0.4"/>
    <row r="900" ht="15.75" customHeight="1" x14ac:dyDescent="0.4"/>
    <row r="901" ht="15.75" customHeight="1" x14ac:dyDescent="0.4"/>
    <row r="902" ht="15.75" customHeight="1" x14ac:dyDescent="0.4"/>
    <row r="903" ht="15.75" customHeight="1" x14ac:dyDescent="0.4"/>
    <row r="904" ht="15.75" customHeight="1" x14ac:dyDescent="0.4"/>
    <row r="905" ht="15.75" customHeight="1" x14ac:dyDescent="0.4"/>
    <row r="906" ht="15.75" customHeight="1" x14ac:dyDescent="0.4"/>
    <row r="907" ht="15.75" customHeight="1" x14ac:dyDescent="0.4"/>
    <row r="908" ht="15.75" customHeight="1" x14ac:dyDescent="0.4"/>
    <row r="909" ht="15.75" customHeight="1" x14ac:dyDescent="0.4"/>
    <row r="910" ht="15.75" customHeight="1" x14ac:dyDescent="0.4"/>
    <row r="911" ht="15.75" customHeight="1" x14ac:dyDescent="0.4"/>
    <row r="912" ht="15.75" customHeight="1" x14ac:dyDescent="0.4"/>
    <row r="913" ht="15.75" customHeight="1" x14ac:dyDescent="0.4"/>
    <row r="914" ht="15.75" customHeight="1" x14ac:dyDescent="0.4"/>
    <row r="915" ht="15.75" customHeight="1" x14ac:dyDescent="0.4"/>
    <row r="916" ht="15.75" customHeight="1" x14ac:dyDescent="0.4"/>
    <row r="917" ht="15.75" customHeight="1" x14ac:dyDescent="0.4"/>
    <row r="918" ht="15.75" customHeight="1" x14ac:dyDescent="0.4"/>
    <row r="919" ht="15.75" customHeight="1" x14ac:dyDescent="0.4"/>
    <row r="920" ht="15.75" customHeight="1" x14ac:dyDescent="0.4"/>
    <row r="921" ht="15.75" customHeight="1" x14ac:dyDescent="0.4"/>
    <row r="922" ht="15.75" customHeight="1" x14ac:dyDescent="0.4"/>
    <row r="923" ht="15.75" customHeight="1" x14ac:dyDescent="0.4"/>
    <row r="924" ht="15.75" customHeight="1" x14ac:dyDescent="0.4"/>
    <row r="925" ht="15.75" customHeight="1" x14ac:dyDescent="0.4"/>
    <row r="926" ht="15.75" customHeight="1" x14ac:dyDescent="0.4"/>
    <row r="927" ht="15.75" customHeight="1" x14ac:dyDescent="0.4"/>
    <row r="928" ht="15.75" customHeight="1" x14ac:dyDescent="0.4"/>
    <row r="929" ht="15.75" customHeight="1" x14ac:dyDescent="0.4"/>
    <row r="930" ht="15.75" customHeight="1" x14ac:dyDescent="0.4"/>
    <row r="931" ht="15.75" customHeight="1" x14ac:dyDescent="0.4"/>
  </sheetData>
  <phoneticPr fontId="20" type="noConversion"/>
  <conditionalFormatting sqref="C6:M23 C27:M40">
    <cfRule type="containsBlanks" dxfId="10" priority="4">
      <formula>LEN(TRIM(C6))=0</formula>
    </cfRule>
  </conditionalFormatting>
  <conditionalFormatting sqref="C25:M25">
    <cfRule type="containsBlanks" dxfId="9" priority="3">
      <formula>LEN(TRIM(C25))=0</formula>
    </cfRule>
  </conditionalFormatting>
  <conditionalFormatting sqref="D24:M24">
    <cfRule type="containsBlanks" dxfId="8" priority="2">
      <formula>LEN(TRIM(D24))=0</formula>
    </cfRule>
  </conditionalFormatting>
  <conditionalFormatting sqref="F4">
    <cfRule type="containsBlanks" dxfId="7" priority="1">
      <formula>LEN(TRIM(F4))=0</formula>
    </cfRule>
  </conditionalFormatting>
  <dataValidations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theme="6" tint="0.59999389629810485"/>
    <outlinePr summaryBelow="0" summaryRight="0"/>
    <pageSetUpPr fitToPage="1"/>
  </sheetPr>
  <dimension ref="A2:K108"/>
  <sheetViews>
    <sheetView showGridLines="0" topLeftCell="A85" zoomScaleNormal="100" workbookViewId="0">
      <selection activeCell="I100" sqref="I100"/>
    </sheetView>
  </sheetViews>
  <sheetFormatPr defaultColWidth="12.33203125" defaultRowHeight="15" customHeight="1" x14ac:dyDescent="0.4"/>
  <cols>
    <col min="1" max="1" width="2.33203125" style="1" customWidth="1"/>
    <col min="2" max="2" width="28.6640625" style="1" customWidth="1"/>
    <col min="3" max="6" width="18.6640625" style="1" customWidth="1"/>
    <col min="7" max="7" width="2" style="1" customWidth="1"/>
    <col min="8" max="9" width="18.6640625" style="1" customWidth="1"/>
    <col min="10" max="10" width="4.6640625" style="1" customWidth="1"/>
    <col min="11" max="11" width="38.796875" style="1" customWidth="1"/>
    <col min="12" max="16384" width="12.33203125" style="1"/>
  </cols>
  <sheetData>
    <row r="2" spans="1:11" ht="15" customHeight="1" x14ac:dyDescent="0.4">
      <c r="A2" s="2"/>
      <c r="B2" s="45" t="s">
        <v>21</v>
      </c>
      <c r="C2" s="45"/>
      <c r="D2" s="64"/>
      <c r="E2" s="87"/>
      <c r="F2" s="7"/>
      <c r="G2" s="7"/>
      <c r="H2" s="7"/>
      <c r="I2" s="87"/>
      <c r="K2" s="50" t="s">
        <v>7</v>
      </c>
    </row>
    <row r="3" spans="1:11" ht="15" customHeight="1" x14ac:dyDescent="0.4">
      <c r="B3" s="3" t="s">
        <v>22</v>
      </c>
      <c r="C3" s="87"/>
      <c r="D3" s="116">
        <f>C49-I49</f>
        <v>3027292</v>
      </c>
      <c r="E3" s="67" t="str">
        <f>IF((C49-I49)=D3,"", "Error!")</f>
        <v/>
      </c>
      <c r="F3" s="87"/>
      <c r="G3" s="87"/>
      <c r="H3" s="47" t="s">
        <v>23</v>
      </c>
      <c r="I3" s="204">
        <f>Inputs!C83</f>
        <v>3023302</v>
      </c>
      <c r="K3" s="24"/>
    </row>
    <row r="4" spans="1:11" ht="15" customHeight="1" x14ac:dyDescent="0.4">
      <c r="B4" s="3" t="s">
        <v>24</v>
      </c>
      <c r="C4" s="87"/>
      <c r="D4" s="65">
        <f>D3-I3</f>
        <v>3990</v>
      </c>
      <c r="E4" s="37"/>
      <c r="F4" s="87"/>
      <c r="G4" s="87"/>
      <c r="H4" s="21"/>
      <c r="I4" s="54"/>
      <c r="K4" s="24"/>
    </row>
    <row r="5" spans="1:11" ht="15" customHeight="1" x14ac:dyDescent="0.4">
      <c r="C5" s="87"/>
      <c r="D5" s="87"/>
      <c r="E5" s="11" t="s">
        <v>25</v>
      </c>
      <c r="H5" s="1" t="s">
        <v>27</v>
      </c>
      <c r="I5" s="63">
        <f>C28/I28</f>
        <v>4.8753437887604978</v>
      </c>
      <c r="K5" s="24"/>
    </row>
    <row r="6" spans="1:11" ht="15" customHeight="1" thickBot="1" x14ac:dyDescent="0.45">
      <c r="B6" s="20" t="s">
        <v>26</v>
      </c>
      <c r="C6" s="87"/>
      <c r="D6" s="69">
        <f>(E49-I49-E53)*Exchange_Rate</f>
        <v>2122793.7865389981</v>
      </c>
      <c r="E6" s="56">
        <f>1-D6/D3</f>
        <v>0.29878129148460142</v>
      </c>
      <c r="F6" s="87"/>
      <c r="G6" s="87"/>
      <c r="H6" s="1" t="s">
        <v>29</v>
      </c>
      <c r="I6" s="63">
        <f>(C24+C25)/I28</f>
        <v>4.6073037646401307</v>
      </c>
      <c r="J6" s="87"/>
      <c r="K6" s="24"/>
    </row>
    <row r="7" spans="1:11" ht="15" customHeight="1" thickTop="1" x14ac:dyDescent="0.4">
      <c r="B7" s="19" t="s">
        <v>28</v>
      </c>
      <c r="C7" s="87"/>
      <c r="D7" s="66">
        <f>MAX((D6*Exchange_Rate*Data!C4)/Common_Shares, 0)</f>
        <v>1.7037976613306642</v>
      </c>
      <c r="E7" s="11" t="str">
        <f>Dashboard!H3</f>
        <v>HKD</v>
      </c>
      <c r="H7" s="1" t="s">
        <v>30</v>
      </c>
      <c r="I7" s="63">
        <f>C24/I28</f>
        <v>4.1937751151682132</v>
      </c>
      <c r="J7" s="87"/>
      <c r="K7" s="33"/>
    </row>
    <row r="8" spans="1:11" ht="15" customHeight="1" x14ac:dyDescent="0.4">
      <c r="C8" s="87"/>
      <c r="D8" s="87"/>
      <c r="E8" s="87"/>
      <c r="K8" s="24"/>
    </row>
    <row r="9" spans="1:11" ht="15" customHeight="1" x14ac:dyDescent="0.4">
      <c r="A9" s="2"/>
      <c r="B9" s="46" t="s">
        <v>31</v>
      </c>
      <c r="C9" s="86"/>
      <c r="D9" s="203">
        <f>Inputs!C14</f>
        <v>45473</v>
      </c>
      <c r="E9" s="119" t="str">
        <f>IF(MONTH(D9)=MONTH(Data!C3),"FY","Quarter")</f>
        <v>Quarter</v>
      </c>
      <c r="F9" s="86"/>
      <c r="G9" s="86"/>
      <c r="H9" s="86"/>
      <c r="I9" s="86"/>
      <c r="K9" s="24"/>
    </row>
    <row r="10" spans="1:11" ht="15" customHeight="1" x14ac:dyDescent="0.4">
      <c r="B10" s="22" t="s">
        <v>32</v>
      </c>
      <c r="C10" s="74" t="s">
        <v>33</v>
      </c>
      <c r="D10" s="74" t="s">
        <v>196</v>
      </c>
      <c r="E10" s="74" t="s">
        <v>34</v>
      </c>
      <c r="F10" s="111" t="s">
        <v>35</v>
      </c>
      <c r="G10" s="87"/>
      <c r="H10" s="22" t="s">
        <v>36</v>
      </c>
      <c r="I10" s="74" t="s">
        <v>33</v>
      </c>
      <c r="K10" s="24"/>
    </row>
    <row r="11" spans="1:11" ht="15" customHeight="1" x14ac:dyDescent="0.4">
      <c r="B11" s="3" t="s">
        <v>37</v>
      </c>
      <c r="C11" s="40">
        <f>Inputs!C48</f>
        <v>2385307</v>
      </c>
      <c r="D11" s="198">
        <f>Inputs!D48</f>
        <v>0.9</v>
      </c>
      <c r="E11" s="88">
        <f t="shared" ref="E11:E22" si="0">C11*D11</f>
        <v>2146776.3000000003</v>
      </c>
      <c r="F11" s="112"/>
      <c r="G11" s="87"/>
      <c r="H11" s="3" t="s">
        <v>38</v>
      </c>
      <c r="I11" s="40">
        <f>Inputs!C73</f>
        <v>0</v>
      </c>
      <c r="J11" s="87"/>
      <c r="K11" s="24"/>
    </row>
    <row r="12" spans="1:11" ht="13.9" x14ac:dyDescent="0.4">
      <c r="B12" s="1" t="s">
        <v>135</v>
      </c>
      <c r="C12" s="40">
        <f>Inputs!C49</f>
        <v>0</v>
      </c>
      <c r="D12" s="198">
        <f>Inputs!D49</f>
        <v>0.8</v>
      </c>
      <c r="E12" s="88">
        <f t="shared" si="0"/>
        <v>0</v>
      </c>
      <c r="F12" s="112"/>
      <c r="G12" s="87"/>
      <c r="H12" s="3" t="s">
        <v>39</v>
      </c>
      <c r="I12" s="40">
        <f>Inputs!C74</f>
        <v>13416</v>
      </c>
      <c r="J12" s="87"/>
      <c r="K12" s="24"/>
    </row>
    <row r="13" spans="1:11" ht="13.9" x14ac:dyDescent="0.4">
      <c r="B13" s="3" t="s">
        <v>116</v>
      </c>
      <c r="C13" s="40">
        <f>Inputs!C50</f>
        <v>180994</v>
      </c>
      <c r="D13" s="198">
        <f>Inputs!D50</f>
        <v>0.6</v>
      </c>
      <c r="E13" s="88">
        <f t="shared" si="0"/>
        <v>108596.4</v>
      </c>
      <c r="F13" s="112"/>
      <c r="G13" s="87"/>
      <c r="H13" s="3" t="s">
        <v>40</v>
      </c>
      <c r="I13" s="40">
        <f>Inputs!C75</f>
        <v>0</v>
      </c>
      <c r="J13" s="87"/>
      <c r="K13" s="26"/>
    </row>
    <row r="14" spans="1:11" ht="13.9" x14ac:dyDescent="0.4">
      <c r="B14" s="3" t="s">
        <v>41</v>
      </c>
      <c r="C14" s="40">
        <f>Inputs!C51</f>
        <v>0</v>
      </c>
      <c r="D14" s="198">
        <f>Inputs!D51</f>
        <v>0.6</v>
      </c>
      <c r="E14" s="88">
        <f t="shared" si="0"/>
        <v>0</v>
      </c>
      <c r="F14" s="112"/>
      <c r="G14" s="87"/>
      <c r="H14" s="86" t="s">
        <v>42</v>
      </c>
      <c r="I14" s="205">
        <f>Inputs!C76</f>
        <v>0</v>
      </c>
      <c r="J14" s="87"/>
      <c r="K14" s="27"/>
    </row>
    <row r="15" spans="1:11" ht="13.9" x14ac:dyDescent="0.4">
      <c r="B15" s="3" t="s">
        <v>43</v>
      </c>
      <c r="C15" s="40">
        <f>Inputs!C52</f>
        <v>253051</v>
      </c>
      <c r="D15" s="198">
        <f>Inputs!D52</f>
        <v>0.5</v>
      </c>
      <c r="E15" s="88">
        <f t="shared" si="0"/>
        <v>126525.5</v>
      </c>
      <c r="F15" s="112"/>
      <c r="G15" s="87"/>
      <c r="H15" s="1" t="s">
        <v>53</v>
      </c>
      <c r="I15" s="84">
        <f>SUM(I11:I14)</f>
        <v>13416</v>
      </c>
      <c r="J15" s="87"/>
    </row>
    <row r="16" spans="1:11" ht="13.9" x14ac:dyDescent="0.4">
      <c r="B16" s="1" t="s">
        <v>158</v>
      </c>
      <c r="C16" s="40">
        <f>Inputs!C53</f>
        <v>0</v>
      </c>
      <c r="D16" s="198">
        <f>Inputs!D53</f>
        <v>0.6</v>
      </c>
      <c r="E16" s="88">
        <f t="shared" si="0"/>
        <v>0</v>
      </c>
      <c r="F16" s="112"/>
      <c r="G16" s="30"/>
      <c r="H16" s="3"/>
      <c r="I16" s="40"/>
      <c r="J16" s="87"/>
    </row>
    <row r="17" spans="2:10" ht="13.9" x14ac:dyDescent="0.4">
      <c r="B17" s="3" t="s">
        <v>117</v>
      </c>
      <c r="C17" s="40">
        <f>Inputs!C54</f>
        <v>0</v>
      </c>
      <c r="D17" s="198">
        <f>Inputs!D54</f>
        <v>0.1</v>
      </c>
      <c r="E17" s="88">
        <f t="shared" si="0"/>
        <v>0</v>
      </c>
      <c r="F17" s="112"/>
      <c r="G17" s="87"/>
      <c r="H17" s="3"/>
      <c r="I17" s="40"/>
      <c r="J17" s="87"/>
    </row>
    <row r="18" spans="2:10" ht="13.9" x14ac:dyDescent="0.4">
      <c r="B18" s="3" t="s">
        <v>46</v>
      </c>
      <c r="C18" s="40">
        <f>Inputs!C55</f>
        <v>158110</v>
      </c>
      <c r="D18" s="198">
        <f>Inputs!D55</f>
        <v>0.5</v>
      </c>
      <c r="E18" s="88">
        <f t="shared" si="0"/>
        <v>79055</v>
      </c>
      <c r="F18" s="112"/>
      <c r="G18" s="87"/>
      <c r="H18" s="87"/>
      <c r="I18" s="87"/>
    </row>
    <row r="19" spans="2:10" ht="13.9" x14ac:dyDescent="0.4">
      <c r="B19" s="1" t="s">
        <v>47</v>
      </c>
      <c r="C19" s="40">
        <f>Inputs!C56</f>
        <v>0</v>
      </c>
      <c r="D19" s="198">
        <f>Inputs!D56</f>
        <v>0.6</v>
      </c>
      <c r="E19" s="88">
        <f t="shared" si="0"/>
        <v>0</v>
      </c>
      <c r="F19" s="134" t="str">
        <f>Inputs!E56</f>
        <v>N</v>
      </c>
      <c r="G19" s="30">
        <f>IF(F19="Y",0,1)</f>
        <v>1</v>
      </c>
    </row>
    <row r="20" spans="2:10" ht="13.9" x14ac:dyDescent="0.4">
      <c r="B20" s="3" t="s">
        <v>119</v>
      </c>
      <c r="C20" s="40">
        <f>Inputs!C57</f>
        <v>0</v>
      </c>
      <c r="D20" s="198">
        <f>Inputs!D57</f>
        <v>0.6</v>
      </c>
      <c r="E20" s="88">
        <f t="shared" si="0"/>
        <v>0</v>
      </c>
      <c r="F20" s="134" t="str">
        <f>Inputs!E57</f>
        <v>Y</v>
      </c>
      <c r="G20" s="30">
        <f>IF(F20="Y",0,1)</f>
        <v>0</v>
      </c>
      <c r="H20" s="3"/>
      <c r="I20" s="40"/>
    </row>
    <row r="21" spans="2:10" ht="13.9" x14ac:dyDescent="0.4">
      <c r="B21" s="3" t="s">
        <v>49</v>
      </c>
      <c r="C21" s="40">
        <f>Inputs!C58</f>
        <v>5912</v>
      </c>
      <c r="D21" s="198">
        <f>Inputs!D58</f>
        <v>0.9</v>
      </c>
      <c r="E21" s="88">
        <f t="shared" si="0"/>
        <v>5320.8</v>
      </c>
      <c r="F21" s="112"/>
      <c r="G21" s="87"/>
      <c r="H21" s="3"/>
      <c r="I21" s="40"/>
    </row>
    <row r="22" spans="2:10" ht="15" customHeight="1" x14ac:dyDescent="0.4">
      <c r="B22" s="3" t="s">
        <v>50</v>
      </c>
      <c r="C22" s="40">
        <f>Inputs!C59</f>
        <v>0</v>
      </c>
      <c r="D22" s="198">
        <f>Inputs!D59</f>
        <v>0.05</v>
      </c>
      <c r="E22" s="88">
        <f t="shared" si="0"/>
        <v>0</v>
      </c>
      <c r="F22" s="112"/>
      <c r="G22" s="87"/>
      <c r="H22" s="3" t="s">
        <v>44</v>
      </c>
      <c r="I22" s="52">
        <f>I28-SUM(I11:I14)</f>
        <v>598515</v>
      </c>
    </row>
    <row r="23" spans="2:10" ht="15" customHeight="1" x14ac:dyDescent="0.4">
      <c r="C23" s="87"/>
      <c r="D23" s="87"/>
      <c r="E23" s="87"/>
      <c r="F23" s="111" t="s">
        <v>51</v>
      </c>
      <c r="G23" s="87"/>
    </row>
    <row r="24" spans="2:10" ht="15" customHeight="1" x14ac:dyDescent="0.4">
      <c r="B24" s="23" t="s">
        <v>52</v>
      </c>
      <c r="C24" s="61">
        <f>SUM(C11:C14)</f>
        <v>2566301</v>
      </c>
      <c r="D24" s="62">
        <f>IF(E24=0,0,E24/C24)</f>
        <v>0.87884184279240829</v>
      </c>
      <c r="E24" s="88">
        <f>SUM(E11:E14)</f>
        <v>2255372.7000000002</v>
      </c>
      <c r="F24" s="113">
        <f>E24/$E$28</f>
        <v>0.91448586004636967</v>
      </c>
      <c r="G24" s="87"/>
    </row>
    <row r="25" spans="2:10" ht="15" customHeight="1" x14ac:dyDescent="0.4">
      <c r="B25" s="23" t="s">
        <v>54</v>
      </c>
      <c r="C25" s="61">
        <f>SUM(C15:C17)</f>
        <v>253051</v>
      </c>
      <c r="D25" s="62">
        <f>IF(E25=0,0,E25/C25)</f>
        <v>0.5</v>
      </c>
      <c r="E25" s="88">
        <f>SUM(E15:E17)</f>
        <v>126525.5</v>
      </c>
      <c r="F25" s="113">
        <f>E25/$E$28</f>
        <v>5.1302288391314184E-2</v>
      </c>
      <c r="G25" s="87"/>
      <c r="H25" s="23" t="s">
        <v>55</v>
      </c>
      <c r="I25" s="63">
        <f>E28/I28</f>
        <v>4.0303138752571774</v>
      </c>
    </row>
    <row r="26" spans="2:10" ht="15" customHeight="1" x14ac:dyDescent="0.4">
      <c r="B26" s="23" t="s">
        <v>56</v>
      </c>
      <c r="C26" s="61">
        <f>C18+C19+C20</f>
        <v>158110</v>
      </c>
      <c r="D26" s="62">
        <f>IF(E26=0,0,E26/C26)</f>
        <v>0.5</v>
      </c>
      <c r="E26" s="88">
        <f>E18+E19+E20</f>
        <v>79055</v>
      </c>
      <c r="F26" s="113">
        <f>E26/$E$28</f>
        <v>3.2054427042575155E-2</v>
      </c>
      <c r="G26" s="87"/>
      <c r="H26" s="23" t="s">
        <v>57</v>
      </c>
      <c r="I26" s="63">
        <f>E24/($I$28-I22)</f>
        <v>168.11066636851521</v>
      </c>
      <c r="J26" s="8" t="str">
        <f>IF(I26&lt;1,"Liquidity Problem!","")</f>
        <v/>
      </c>
    </row>
    <row r="27" spans="2:10" ht="15" customHeight="1" x14ac:dyDescent="0.4">
      <c r="B27" s="23" t="s">
        <v>58</v>
      </c>
      <c r="C27" s="77">
        <f>C21+C22</f>
        <v>5912</v>
      </c>
      <c r="D27" s="62">
        <f>IF(E27=0,0,E27/C27)</f>
        <v>0.9</v>
      </c>
      <c r="E27" s="88">
        <f>E21+E22</f>
        <v>5320.8</v>
      </c>
      <c r="F27" s="113">
        <f>E27/$E$28</f>
        <v>2.1574245197411158E-3</v>
      </c>
      <c r="G27" s="87"/>
      <c r="H27" s="23" t="s">
        <v>59</v>
      </c>
      <c r="I27" s="63">
        <f>(E25+E24)/$I$28</f>
        <v>3.8924293752073358</v>
      </c>
      <c r="J27" s="8" t="str">
        <f>IF(OR(I27&lt;0.75,C28&lt;I28),"Liquidity Issue!","")</f>
        <v/>
      </c>
    </row>
    <row r="28" spans="2:10" ht="15" customHeight="1" x14ac:dyDescent="0.4">
      <c r="B28" s="78" t="s">
        <v>14</v>
      </c>
      <c r="C28" s="79">
        <f>SUM(C11:C22)</f>
        <v>2983374</v>
      </c>
      <c r="D28" s="57">
        <f>E28/C28</f>
        <v>0.82667275373453009</v>
      </c>
      <c r="E28" s="70">
        <f>SUM(E24:E27)</f>
        <v>2466274</v>
      </c>
      <c r="F28" s="112"/>
      <c r="G28" s="87"/>
      <c r="H28" s="78" t="s">
        <v>15</v>
      </c>
      <c r="I28" s="206">
        <f>Inputs!C77</f>
        <v>611931</v>
      </c>
      <c r="J28" s="32">
        <f>IF(J26="",1,0)+IF(J27="",1,0)+IF(J46="",1,0)+IF(J47="",1,0)</f>
        <v>4</v>
      </c>
    </row>
    <row r="29" spans="2:10" ht="15" customHeight="1" x14ac:dyDescent="0.4">
      <c r="C29" s="87"/>
      <c r="D29" s="87"/>
      <c r="E29" s="87"/>
      <c r="F29" s="112" t="s">
        <v>35</v>
      </c>
      <c r="G29" s="87"/>
      <c r="H29" s="87"/>
      <c r="I29" s="87"/>
      <c r="J29" s="87"/>
    </row>
    <row r="30" spans="2:10" ht="15" customHeight="1" x14ac:dyDescent="0.4">
      <c r="B30" s="3" t="s">
        <v>60</v>
      </c>
      <c r="C30" s="40">
        <f>Inputs!C60</f>
        <v>279425</v>
      </c>
      <c r="D30" s="198">
        <f>Inputs!D60</f>
        <v>0.8</v>
      </c>
      <c r="E30" s="88">
        <v>0</v>
      </c>
      <c r="F30" s="112"/>
      <c r="G30" s="87"/>
      <c r="H30" s="3" t="s">
        <v>61</v>
      </c>
      <c r="I30" s="40">
        <f>Inputs!C78</f>
        <v>0</v>
      </c>
      <c r="J30" s="87"/>
    </row>
    <row r="31" spans="2:10" ht="15" customHeight="1" x14ac:dyDescent="0.4">
      <c r="B31" s="3" t="s">
        <v>62</v>
      </c>
      <c r="C31" s="40">
        <f>Inputs!C61</f>
        <v>126127</v>
      </c>
      <c r="D31" s="198">
        <f>Inputs!D61</f>
        <v>0.6</v>
      </c>
      <c r="E31" s="88">
        <f t="shared" ref="E31:E42" si="1">C31*D31</f>
        <v>75676.2</v>
      </c>
      <c r="F31" s="112"/>
      <c r="G31" s="87"/>
      <c r="H31" s="3" t="s">
        <v>63</v>
      </c>
      <c r="I31" s="40">
        <f>Inputs!C79</f>
        <v>20583</v>
      </c>
      <c r="J31" s="87"/>
    </row>
    <row r="32" spans="2:10" ht="15" customHeight="1" x14ac:dyDescent="0.4">
      <c r="B32" s="3" t="s">
        <v>64</v>
      </c>
      <c r="C32" s="40">
        <f>Inputs!C62</f>
        <v>0</v>
      </c>
      <c r="D32" s="198">
        <f>Inputs!D62</f>
        <v>0.5</v>
      </c>
      <c r="E32" s="88">
        <f t="shared" si="1"/>
        <v>0</v>
      </c>
      <c r="F32" s="112"/>
      <c r="G32" s="87"/>
      <c r="H32" s="3" t="s">
        <v>65</v>
      </c>
      <c r="I32" s="40">
        <f>Inputs!C80</f>
        <v>0</v>
      </c>
      <c r="J32" s="87"/>
    </row>
    <row r="33" spans="2:10" ht="13.9" x14ac:dyDescent="0.4">
      <c r="B33" s="1" t="s">
        <v>159</v>
      </c>
      <c r="C33" s="40">
        <f>Inputs!C63</f>
        <v>0</v>
      </c>
      <c r="D33" s="198">
        <f>Inputs!D63</f>
        <v>0.5</v>
      </c>
      <c r="E33" s="88">
        <f t="shared" si="1"/>
        <v>0</v>
      </c>
      <c r="F33" s="112"/>
      <c r="G33" s="30">
        <f>IF(F33="Y",0,1)</f>
        <v>1</v>
      </c>
      <c r="H33" s="86" t="s">
        <v>66</v>
      </c>
      <c r="I33" s="205">
        <f>Inputs!C81</f>
        <v>0</v>
      </c>
      <c r="J33" s="87"/>
    </row>
    <row r="34" spans="2:10" ht="13.9" x14ac:dyDescent="0.4">
      <c r="B34" s="3" t="s">
        <v>67</v>
      </c>
      <c r="C34" s="40">
        <f>Inputs!C64</f>
        <v>0</v>
      </c>
      <c r="D34" s="198">
        <f>Inputs!D64</f>
        <v>0.4</v>
      </c>
      <c r="E34" s="88">
        <f t="shared" si="1"/>
        <v>0</v>
      </c>
      <c r="F34" s="112"/>
      <c r="G34" s="87"/>
      <c r="H34" s="1" t="s">
        <v>77</v>
      </c>
      <c r="I34" s="84">
        <f>SUM(I30:I33)</f>
        <v>20583</v>
      </c>
      <c r="J34" s="87"/>
    </row>
    <row r="35" spans="2:10" ht="13.9" x14ac:dyDescent="0.4">
      <c r="B35" s="3" t="s">
        <v>69</v>
      </c>
      <c r="C35" s="40">
        <f>Inputs!C65</f>
        <v>1500</v>
      </c>
      <c r="D35" s="198">
        <f>Inputs!D65</f>
        <v>0.1</v>
      </c>
      <c r="E35" s="88">
        <f t="shared" si="1"/>
        <v>150</v>
      </c>
      <c r="F35" s="134" t="str">
        <f>Inputs!E65</f>
        <v>N</v>
      </c>
      <c r="G35" s="30">
        <f>IF(F35="Y",0,1)</f>
        <v>1</v>
      </c>
      <c r="J35" s="87"/>
    </row>
    <row r="36" spans="2:10" ht="13.9" x14ac:dyDescent="0.4">
      <c r="B36" s="3" t="s">
        <v>71</v>
      </c>
      <c r="C36" s="40">
        <f>Inputs!C66</f>
        <v>0</v>
      </c>
      <c r="D36" s="198">
        <f>Inputs!D66</f>
        <v>0.2</v>
      </c>
      <c r="E36" s="88">
        <f t="shared" si="1"/>
        <v>0</v>
      </c>
      <c r="F36" s="134" t="str">
        <f>Inputs!E66</f>
        <v>N</v>
      </c>
      <c r="G36" s="30">
        <f>IF(F36="Y",0,1)</f>
        <v>1</v>
      </c>
      <c r="H36" s="87"/>
      <c r="I36" s="87"/>
    </row>
    <row r="37" spans="2:10" ht="13.9" x14ac:dyDescent="0.4">
      <c r="B37" s="1" t="s">
        <v>48</v>
      </c>
      <c r="C37" s="40">
        <f>Inputs!C67</f>
        <v>0</v>
      </c>
      <c r="D37" s="198">
        <f>Inputs!D67</f>
        <v>0.1</v>
      </c>
      <c r="E37" s="88">
        <f t="shared" si="1"/>
        <v>0</v>
      </c>
      <c r="F37" s="134" t="str">
        <f>Inputs!E67</f>
        <v>Y</v>
      </c>
      <c r="G37" s="30">
        <f>IF(F37="Y",0,1)</f>
        <v>0</v>
      </c>
      <c r="H37" s="87"/>
      <c r="I37" s="87"/>
    </row>
    <row r="38" spans="2:10" ht="15" customHeight="1" x14ac:dyDescent="0.4">
      <c r="B38" s="3" t="s">
        <v>118</v>
      </c>
      <c r="C38" s="40">
        <f>Inputs!C68</f>
        <v>193915</v>
      </c>
      <c r="D38" s="198">
        <f>Inputs!D68</f>
        <v>0.1</v>
      </c>
      <c r="E38" s="88">
        <f t="shared" si="1"/>
        <v>19391.5</v>
      </c>
      <c r="F38" s="112"/>
      <c r="G38" s="87"/>
      <c r="H38" s="87"/>
      <c r="I38" s="87"/>
    </row>
    <row r="39" spans="2:10" ht="13.9" x14ac:dyDescent="0.4">
      <c r="B39" s="3" t="s">
        <v>72</v>
      </c>
      <c r="C39" s="40">
        <f>Inputs!C69</f>
        <v>0</v>
      </c>
      <c r="D39" s="198">
        <f>Inputs!D69</f>
        <v>0.05</v>
      </c>
      <c r="E39" s="88">
        <f t="shared" si="1"/>
        <v>0</v>
      </c>
      <c r="F39" s="112"/>
      <c r="G39" s="87"/>
      <c r="H39" s="87"/>
      <c r="I39" s="87"/>
    </row>
    <row r="40" spans="2:10" ht="15" customHeight="1" x14ac:dyDescent="0.4">
      <c r="B40" s="3" t="s">
        <v>73</v>
      </c>
      <c r="C40" s="40">
        <f>Inputs!C70</f>
        <v>9704</v>
      </c>
      <c r="D40" s="198">
        <f>Inputs!D70</f>
        <v>0.05</v>
      </c>
      <c r="E40" s="88">
        <f t="shared" si="1"/>
        <v>485.20000000000005</v>
      </c>
      <c r="F40" s="112"/>
      <c r="G40" s="87"/>
      <c r="H40" s="87"/>
      <c r="I40" s="87"/>
    </row>
    <row r="41" spans="2:10" ht="15" customHeight="1" x14ac:dyDescent="0.4">
      <c r="B41" s="3" t="s">
        <v>74</v>
      </c>
      <c r="C41" s="40">
        <f>Inputs!C71</f>
        <v>76124</v>
      </c>
      <c r="D41" s="198">
        <f>Inputs!D71</f>
        <v>0.9</v>
      </c>
      <c r="E41" s="88">
        <f t="shared" si="1"/>
        <v>68511.600000000006</v>
      </c>
      <c r="F41" s="112"/>
      <c r="G41" s="87"/>
      <c r="H41" s="87"/>
      <c r="I41" s="87"/>
    </row>
    <row r="42" spans="2:10" ht="15" customHeight="1" x14ac:dyDescent="0.4">
      <c r="B42" s="3" t="s">
        <v>75</v>
      </c>
      <c r="C42" s="40">
        <f>Inputs!C72</f>
        <v>0</v>
      </c>
      <c r="D42" s="198">
        <f>Inputs!D72</f>
        <v>0</v>
      </c>
      <c r="E42" s="88">
        <f t="shared" si="1"/>
        <v>0</v>
      </c>
      <c r="F42" s="112"/>
      <c r="G42" s="87"/>
      <c r="H42" s="3" t="s">
        <v>68</v>
      </c>
      <c r="I42" s="52">
        <f>I48-SUM(I30:I33)</f>
        <v>10363</v>
      </c>
    </row>
    <row r="43" spans="2:10" ht="15" customHeight="1" x14ac:dyDescent="0.4">
      <c r="C43" s="87"/>
      <c r="D43" s="87"/>
      <c r="E43" s="87"/>
      <c r="F43" s="87"/>
      <c r="G43" s="87"/>
      <c r="H43" s="87"/>
      <c r="I43" s="87"/>
    </row>
    <row r="44" spans="2:10" ht="15" customHeight="1" x14ac:dyDescent="0.4">
      <c r="B44" s="23" t="s">
        <v>76</v>
      </c>
      <c r="C44" s="61">
        <f>SUM(C30:C31)</f>
        <v>405552</v>
      </c>
      <c r="D44" s="62">
        <f>IF(E44=0,0,E44/C44)</f>
        <v>0.18660048526452833</v>
      </c>
      <c r="E44" s="88">
        <f>SUM(E30:E31)</f>
        <v>75676.2</v>
      </c>
      <c r="F44" s="72"/>
      <c r="G44" s="87"/>
    </row>
    <row r="45" spans="2:10" ht="15" customHeight="1" x14ac:dyDescent="0.4">
      <c r="B45" s="23" t="s">
        <v>78</v>
      </c>
      <c r="C45" s="61">
        <f>SUM(C32:C35)</f>
        <v>1500</v>
      </c>
      <c r="D45" s="62">
        <f>IF(E45=0,0,E45/C45)</f>
        <v>0.1</v>
      </c>
      <c r="E45" s="88">
        <f>SUM(E32:E35)</f>
        <v>150</v>
      </c>
      <c r="F45" s="72"/>
      <c r="G45" s="87"/>
    </row>
    <row r="46" spans="2:10" ht="15" customHeight="1" x14ac:dyDescent="0.4">
      <c r="B46" s="23" t="s">
        <v>79</v>
      </c>
      <c r="C46" s="61">
        <f>C36+C37+C38+C39</f>
        <v>193915</v>
      </c>
      <c r="D46" s="62">
        <f>IF(E46=0,0,E46/C46)</f>
        <v>0.1</v>
      </c>
      <c r="E46" s="88">
        <f>E36+E37+E38+E39</f>
        <v>19391.5</v>
      </c>
      <c r="F46" s="87"/>
      <c r="G46" s="87"/>
      <c r="H46" s="23" t="s">
        <v>80</v>
      </c>
      <c r="I46" s="63">
        <f>(E44+E24)/E64</f>
        <v>68.562278302303014</v>
      </c>
      <c r="J46" s="8" t="str">
        <f>IF(I46&lt;1,"Liquidity Problem!","")</f>
        <v/>
      </c>
    </row>
    <row r="47" spans="2:10" ht="15" customHeight="1" x14ac:dyDescent="0.4">
      <c r="B47" s="23" t="s">
        <v>81</v>
      </c>
      <c r="C47" s="61">
        <f>C40+C41+C42</f>
        <v>85828</v>
      </c>
      <c r="D47" s="62">
        <f>IF(E47=0,0,E47/C47)</f>
        <v>0.80389616442186707</v>
      </c>
      <c r="E47" s="88">
        <f>E40+E41+E42</f>
        <v>68996.800000000003</v>
      </c>
      <c r="F47" s="87"/>
      <c r="G47" s="87"/>
      <c r="H47" s="23" t="s">
        <v>82</v>
      </c>
      <c r="I47" s="63">
        <f>(E44+E45+E24+E25)/$I$49</f>
        <v>3.8230087559517614</v>
      </c>
      <c r="J47" s="8" t="str">
        <f>IF(OR(I47&lt;0.5,C49&lt;I49),"Liquidity Issue!","")</f>
        <v/>
      </c>
    </row>
    <row r="48" spans="2:10" ht="15" customHeight="1" thickBot="1" x14ac:dyDescent="0.45">
      <c r="B48" s="80" t="s">
        <v>83</v>
      </c>
      <c r="C48" s="81">
        <f>SUM(C30:C42)</f>
        <v>686795</v>
      </c>
      <c r="D48" s="82">
        <f>E48/C48</f>
        <v>0.23910264343799822</v>
      </c>
      <c r="E48" s="76">
        <f>SUM(E30:E42)</f>
        <v>164214.5</v>
      </c>
      <c r="F48" s="87"/>
      <c r="G48" s="87"/>
      <c r="H48" s="80" t="s">
        <v>84</v>
      </c>
      <c r="I48" s="207">
        <f>Inputs!C82</f>
        <v>30946</v>
      </c>
      <c r="J48" s="8"/>
    </row>
    <row r="49" spans="2:11" ht="15" customHeight="1" thickTop="1" x14ac:dyDescent="0.4">
      <c r="B49" s="3" t="s">
        <v>13</v>
      </c>
      <c r="C49" s="61">
        <f>C28+C48</f>
        <v>3670169</v>
      </c>
      <c r="D49" s="56">
        <f>E49/C49</f>
        <v>0.71672135533813297</v>
      </c>
      <c r="E49" s="88">
        <f>E28+E48</f>
        <v>2630488.5</v>
      </c>
      <c r="F49" s="87"/>
      <c r="G49" s="87"/>
      <c r="H49" s="3" t="s">
        <v>85</v>
      </c>
      <c r="I49" s="52">
        <f>I28+I48</f>
        <v>642877</v>
      </c>
      <c r="J49" s="87"/>
    </row>
    <row r="50" spans="2:11" ht="15" customHeight="1" x14ac:dyDescent="0.4">
      <c r="C50" s="87"/>
      <c r="D50" s="87"/>
      <c r="E50" s="87"/>
      <c r="I50" s="87"/>
    </row>
    <row r="51" spans="2:11" ht="13.9" x14ac:dyDescent="0.4">
      <c r="B51" s="10" t="s">
        <v>86</v>
      </c>
      <c r="C51" s="31"/>
      <c r="D51" s="18"/>
    </row>
    <row r="52" spans="2:11" ht="13.9" x14ac:dyDescent="0.4">
      <c r="B52" s="44" t="s">
        <v>87</v>
      </c>
      <c r="C52" s="87"/>
      <c r="D52" s="74" t="str">
        <f>IF(E53=D4,"BV of the MI","P/B Approach")</f>
        <v>BV of the MI</v>
      </c>
      <c r="E52" s="87"/>
      <c r="F52" s="87"/>
      <c r="G52" s="87"/>
      <c r="I52" s="87"/>
      <c r="K52" s="50" t="s">
        <v>7</v>
      </c>
    </row>
    <row r="53" spans="2:11" ht="13.9" x14ac:dyDescent="0.4">
      <c r="B53" s="3" t="s">
        <v>88</v>
      </c>
      <c r="C53" s="88">
        <f>MAX(D4,0)</f>
        <v>3990</v>
      </c>
      <c r="D53" s="29">
        <f>IF(E53=0, 0,E53/C53)</f>
        <v>1</v>
      </c>
      <c r="E53" s="88">
        <f>IF(C53=0,0,MAX(C53,C53*Dashboard!G23))</f>
        <v>3990</v>
      </c>
      <c r="F53" s="87"/>
      <c r="G53" s="87"/>
      <c r="I53" s="41"/>
      <c r="K53" s="33"/>
    </row>
    <row r="54" spans="2:11" ht="15" customHeight="1" x14ac:dyDescent="0.4">
      <c r="C54" s="87"/>
      <c r="D54" s="87"/>
      <c r="E54" s="87"/>
      <c r="F54" s="87"/>
      <c r="G54" s="87"/>
      <c r="I54" s="87"/>
      <c r="K54" s="33"/>
    </row>
    <row r="55" spans="2:11" ht="13.9" x14ac:dyDescent="0.4">
      <c r="B55" s="25" t="s">
        <v>150</v>
      </c>
      <c r="C55" s="3"/>
      <c r="E55" s="125"/>
      <c r="F55" s="3"/>
      <c r="G55" s="3"/>
      <c r="I55" s="87"/>
      <c r="K55" s="33"/>
    </row>
    <row r="56" spans="2:11" ht="13.9" x14ac:dyDescent="0.4">
      <c r="B56" s="20" t="s">
        <v>89</v>
      </c>
      <c r="C56" s="87"/>
      <c r="D56" s="284">
        <f>I15+I34</f>
        <v>33999</v>
      </c>
      <c r="E56" s="282"/>
      <c r="F56" s="3"/>
      <c r="G56" s="3"/>
      <c r="I56" s="56"/>
      <c r="K56" s="33"/>
    </row>
    <row r="57" spans="2:11" ht="13.9" x14ac:dyDescent="0.4">
      <c r="B57" s="20" t="s">
        <v>90</v>
      </c>
      <c r="C57" s="87"/>
      <c r="D57" s="283">
        <f>Inputs!C84</f>
        <v>0</v>
      </c>
      <c r="E57" s="282"/>
      <c r="G57" s="87"/>
      <c r="I57" s="87"/>
      <c r="K57" s="33" t="s">
        <v>91</v>
      </c>
    </row>
    <row r="58" spans="2:11" ht="12.75" customHeight="1" x14ac:dyDescent="0.4">
      <c r="B58" s="20" t="s">
        <v>92</v>
      </c>
      <c r="C58" s="87"/>
      <c r="D58" s="283">
        <f>Inputs!C85</f>
        <v>0</v>
      </c>
      <c r="E58" s="282"/>
      <c r="F58" s="3"/>
      <c r="G58" s="3"/>
      <c r="I58" s="87"/>
      <c r="K58" s="33"/>
    </row>
    <row r="59" spans="2:11" ht="15" customHeight="1" x14ac:dyDescent="0.4">
      <c r="C59" s="87"/>
      <c r="D59" s="87"/>
      <c r="E59" s="87"/>
      <c r="F59" s="87"/>
      <c r="G59" s="87"/>
      <c r="I59" s="87"/>
      <c r="K59" s="33"/>
    </row>
    <row r="60" spans="2:11" ht="13.9" x14ac:dyDescent="0.4">
      <c r="B60" s="25" t="s">
        <v>153</v>
      </c>
      <c r="C60" s="3"/>
      <c r="D60" s="75" t="s">
        <v>93</v>
      </c>
      <c r="E60" s="87"/>
      <c r="F60" s="9"/>
      <c r="G60" s="9"/>
      <c r="I60" s="87"/>
      <c r="K60" s="33"/>
    </row>
    <row r="61" spans="2:11" ht="15" customHeight="1" x14ac:dyDescent="0.4">
      <c r="B61" s="19" t="s">
        <v>94</v>
      </c>
      <c r="C61" s="68">
        <f>C14+C15+(C19*G19)+(C20*G20)+C31+C32+(C35*G35)+(C36*G36)+(C37*G37)</f>
        <v>380678</v>
      </c>
      <c r="D61" s="56">
        <f t="shared" ref="D61:D70" si="2">IF(E61=0,0,E61/C61)</f>
        <v>0.53155606575636105</v>
      </c>
      <c r="E61" s="52">
        <f>E14+E15+(E19*G19)+(E20*G20)+E31+E32+(E35*G35)+(E36*G36)+(E37*G37)</f>
        <v>202351.7</v>
      </c>
      <c r="F61" s="87"/>
      <c r="G61" s="87"/>
      <c r="I61" s="87"/>
      <c r="K61" s="33"/>
    </row>
    <row r="62" spans="2:11" ht="13.9" x14ac:dyDescent="0.4">
      <c r="B62" s="35" t="s">
        <v>139</v>
      </c>
      <c r="C62" s="117">
        <f>C11+C30</f>
        <v>2664732</v>
      </c>
      <c r="D62" s="107">
        <f t="shared" si="2"/>
        <v>0.80562559386835164</v>
      </c>
      <c r="E62" s="118">
        <f>E11+E30</f>
        <v>2146776.3000000003</v>
      </c>
      <c r="F62" s="87"/>
      <c r="G62" s="87"/>
      <c r="I62" s="87"/>
      <c r="K62" s="33"/>
    </row>
    <row r="63" spans="2:11" ht="13.9" x14ac:dyDescent="0.4">
      <c r="B63" s="19" t="s">
        <v>141</v>
      </c>
      <c r="C63" s="68">
        <f>C61+C62</f>
        <v>3045410</v>
      </c>
      <c r="D63" s="29">
        <f t="shared" si="2"/>
        <v>0.77136674536433536</v>
      </c>
      <c r="E63" s="61">
        <f>E61+E62</f>
        <v>2349128.0000000005</v>
      </c>
      <c r="F63" s="87"/>
      <c r="G63" s="87"/>
      <c r="I63" s="87"/>
      <c r="K63" s="33"/>
    </row>
    <row r="64" spans="2:11" ht="14.25" thickBot="1" x14ac:dyDescent="0.45">
      <c r="B64" s="121" t="s">
        <v>151</v>
      </c>
      <c r="C64" s="208"/>
      <c r="D64" s="208"/>
      <c r="E64" s="69">
        <f>D56+D57+D58</f>
        <v>33999</v>
      </c>
      <c r="F64" s="87"/>
      <c r="G64" s="87"/>
      <c r="I64" s="87"/>
      <c r="K64" s="33"/>
    </row>
    <row r="65" spans="1:11" ht="14.25" thickTop="1" x14ac:dyDescent="0.4">
      <c r="B65" s="3" t="s">
        <v>142</v>
      </c>
      <c r="C65" s="68">
        <f>C63-E64</f>
        <v>3011411</v>
      </c>
      <c r="D65" s="29">
        <f t="shared" si="2"/>
        <v>0.76878546302713258</v>
      </c>
      <c r="E65" s="61">
        <f>E63-E64</f>
        <v>2315129.0000000005</v>
      </c>
      <c r="F65" s="87"/>
      <c r="G65" s="87"/>
      <c r="I65" s="87"/>
      <c r="K65" s="33"/>
    </row>
    <row r="66" spans="1:11" ht="13.9" x14ac:dyDescent="0.4">
      <c r="B66" s="3"/>
      <c r="C66" s="68"/>
      <c r="D66" s="29"/>
      <c r="E66" s="61"/>
      <c r="F66" s="87"/>
      <c r="G66" s="87"/>
      <c r="I66" s="87"/>
      <c r="K66" s="33"/>
    </row>
    <row r="67" spans="1:11" ht="13.9" x14ac:dyDescent="0.4">
      <c r="B67" s="25" t="s">
        <v>154</v>
      </c>
      <c r="C67" s="3"/>
      <c r="D67" s="75" t="s">
        <v>93</v>
      </c>
      <c r="E67" s="61"/>
      <c r="F67" s="87"/>
      <c r="G67" s="87"/>
      <c r="I67" s="87"/>
      <c r="K67" s="33"/>
    </row>
    <row r="68" spans="1:11" ht="13.9" x14ac:dyDescent="0.4">
      <c r="B68" s="19" t="s">
        <v>140</v>
      </c>
      <c r="C68" s="68">
        <f>C49-C63</f>
        <v>624759</v>
      </c>
      <c r="D68" s="29">
        <f t="shared" si="2"/>
        <v>0.45035045513549948</v>
      </c>
      <c r="E68" s="68">
        <f>E49-E63</f>
        <v>281360.49999999953</v>
      </c>
      <c r="F68" s="87"/>
      <c r="G68" s="87"/>
      <c r="I68" s="87"/>
      <c r="K68" s="33"/>
    </row>
    <row r="69" spans="1:11" ht="14.25" thickBot="1" x14ac:dyDescent="0.45">
      <c r="B69" s="121" t="s">
        <v>152</v>
      </c>
      <c r="C69" s="208"/>
      <c r="D69" s="208"/>
      <c r="E69" s="126">
        <f>I49-E64</f>
        <v>608878</v>
      </c>
      <c r="F69" s="87"/>
      <c r="G69" s="87"/>
      <c r="I69" s="87"/>
      <c r="K69" s="33"/>
    </row>
    <row r="70" spans="1:11" ht="14.25" thickTop="1" x14ac:dyDescent="0.4">
      <c r="B70" s="19" t="s">
        <v>143</v>
      </c>
      <c r="C70" s="68">
        <f>C68-E69</f>
        <v>15881</v>
      </c>
      <c r="D70" s="29">
        <f t="shared" si="2"/>
        <v>-20.62322901580508</v>
      </c>
      <c r="E70" s="68">
        <f>E68-E69</f>
        <v>-327517.50000000047</v>
      </c>
      <c r="F70" s="87"/>
      <c r="G70" s="87"/>
      <c r="I70" s="87"/>
      <c r="K70" s="33"/>
    </row>
    <row r="72" spans="1:11" ht="15" customHeight="1" x14ac:dyDescent="0.4">
      <c r="A72" s="5"/>
      <c r="B72" s="106" t="s">
        <v>127</v>
      </c>
      <c r="C72" s="271">
        <f>Data!C5</f>
        <v>45291</v>
      </c>
      <c r="D72" s="271"/>
      <c r="E72" s="285" t="s">
        <v>206</v>
      </c>
      <c r="F72" s="285"/>
      <c r="H72" s="285" t="s">
        <v>205</v>
      </c>
      <c r="I72" s="285"/>
      <c r="K72" s="50" t="s">
        <v>7</v>
      </c>
    </row>
    <row r="73" spans="1:11" ht="15" customHeight="1" x14ac:dyDescent="0.4">
      <c r="B73" s="12" t="str">
        <f>"(Numbers in "&amp;Data!C4&amp;Dashboard!G6&amp;")"</f>
        <v>(Numbers in 1000CNY)</v>
      </c>
      <c r="C73" s="272" t="s">
        <v>100</v>
      </c>
      <c r="D73" s="272"/>
      <c r="E73" s="286" t="s">
        <v>101</v>
      </c>
      <c r="F73" s="272"/>
      <c r="H73" s="286" t="s">
        <v>101</v>
      </c>
      <c r="I73" s="272"/>
      <c r="K73" s="24"/>
    </row>
    <row r="74" spans="1:11" ht="15" customHeight="1" x14ac:dyDescent="0.4">
      <c r="B74" s="3" t="s">
        <v>126</v>
      </c>
      <c r="C74" s="77">
        <f>Data!C6</f>
        <v>1615585</v>
      </c>
      <c r="D74" s="209"/>
      <c r="E74" s="238">
        <f>Inputs!E91</f>
        <v>1615585</v>
      </c>
      <c r="F74" s="209"/>
      <c r="H74" s="238">
        <f>Inputs!F91</f>
        <v>1615585</v>
      </c>
      <c r="I74" s="209"/>
      <c r="K74" s="24"/>
    </row>
    <row r="75" spans="1:11" ht="15" customHeight="1" x14ac:dyDescent="0.4">
      <c r="B75" s="104" t="s">
        <v>105</v>
      </c>
      <c r="C75" s="77">
        <f>Data!C8</f>
        <v>897327</v>
      </c>
      <c r="D75" s="159">
        <f>C75/$C$74</f>
        <v>0.55541924442229906</v>
      </c>
      <c r="E75" s="238">
        <f>Inputs!E92</f>
        <v>897327</v>
      </c>
      <c r="F75" s="160">
        <f>E75/E74</f>
        <v>0.55541924442229906</v>
      </c>
      <c r="H75" s="238">
        <f>Inputs!F92</f>
        <v>897327</v>
      </c>
      <c r="I75" s="160">
        <f>H75/$H$74</f>
        <v>0.55541924442229906</v>
      </c>
      <c r="K75" s="24"/>
    </row>
    <row r="76" spans="1:11" ht="15" customHeight="1" x14ac:dyDescent="0.4">
      <c r="B76" s="35" t="s">
        <v>95</v>
      </c>
      <c r="C76" s="161">
        <f>C74-C75</f>
        <v>718258</v>
      </c>
      <c r="D76" s="210"/>
      <c r="E76" s="162">
        <f>E74-E75</f>
        <v>718258</v>
      </c>
      <c r="F76" s="210"/>
      <c r="H76" s="162">
        <f>H74-H75</f>
        <v>718258</v>
      </c>
      <c r="I76" s="210"/>
      <c r="K76" s="24"/>
    </row>
    <row r="77" spans="1:11" ht="15" customHeight="1" x14ac:dyDescent="0.4">
      <c r="B77" s="104" t="s">
        <v>247</v>
      </c>
      <c r="C77" s="77">
        <f>Data!C10+MAX(Data!C11,0)</f>
        <v>613104</v>
      </c>
      <c r="D77" s="159">
        <f>C77/$C$74</f>
        <v>0.37949349616392825</v>
      </c>
      <c r="E77" s="238">
        <f>Inputs!E93</f>
        <v>613104</v>
      </c>
      <c r="F77" s="160">
        <f>E77/E74</f>
        <v>0.37949349616392825</v>
      </c>
      <c r="H77" s="238">
        <f>Inputs!F93</f>
        <v>613104</v>
      </c>
      <c r="I77" s="160">
        <f>H77/$H$74</f>
        <v>0.37949349616392825</v>
      </c>
      <c r="K77" s="24"/>
    </row>
    <row r="78" spans="1:11" ht="15" customHeight="1" x14ac:dyDescent="0.4">
      <c r="B78" s="73" t="s">
        <v>172</v>
      </c>
      <c r="C78" s="77">
        <f>MAX(Data!C12,0)</f>
        <v>2932</v>
      </c>
      <c r="D78" s="159">
        <f>C78/$C$74</f>
        <v>1.8148224946381651E-3</v>
      </c>
      <c r="E78" s="180">
        <f>E74*F78</f>
        <v>2932</v>
      </c>
      <c r="F78" s="160">
        <f>I78</f>
        <v>1.8148224946381651E-3</v>
      </c>
      <c r="H78" s="238">
        <f>Inputs!F97</f>
        <v>2932</v>
      </c>
      <c r="I78" s="160">
        <f>H78/$H$74</f>
        <v>1.8148224946381651E-3</v>
      </c>
      <c r="K78" s="24"/>
    </row>
    <row r="79" spans="1:11" ht="15" customHeight="1" x14ac:dyDescent="0.4">
      <c r="B79" s="256" t="s">
        <v>232</v>
      </c>
      <c r="C79" s="257">
        <f>C76-C77-C78</f>
        <v>102222</v>
      </c>
      <c r="D79" s="258">
        <f>C79/C74</f>
        <v>6.3272436919134561E-2</v>
      </c>
      <c r="E79" s="259">
        <f>E76-E77-E78</f>
        <v>102222</v>
      </c>
      <c r="F79" s="258">
        <f>E79/E74</f>
        <v>6.3272436919134561E-2</v>
      </c>
      <c r="G79" s="260"/>
      <c r="H79" s="259">
        <f>H76-H77-H78</f>
        <v>102222</v>
      </c>
      <c r="I79" s="258">
        <f>H79/H74</f>
        <v>6.3272436919134561E-2</v>
      </c>
      <c r="K79" s="24"/>
    </row>
    <row r="80" spans="1:11" ht="15" customHeight="1" x14ac:dyDescent="0.4">
      <c r="B80" s="28" t="s">
        <v>109</v>
      </c>
      <c r="C80" s="77">
        <f>MAX(Data!C16,0)</f>
        <v>0</v>
      </c>
      <c r="D80" s="159">
        <f>C80/$C$74</f>
        <v>0</v>
      </c>
      <c r="E80" s="180">
        <f>E74*F80</f>
        <v>0</v>
      </c>
      <c r="F80" s="160">
        <f>I80</f>
        <v>0</v>
      </c>
      <c r="H80" s="238">
        <f>Inputs!F96</f>
        <v>0</v>
      </c>
      <c r="I80" s="160">
        <f>H80/$H$74</f>
        <v>0</v>
      </c>
      <c r="K80" s="181" t="s">
        <v>131</v>
      </c>
    </row>
    <row r="81" spans="1:11" ht="15" customHeight="1" x14ac:dyDescent="0.4">
      <c r="B81" s="104" t="s">
        <v>256</v>
      </c>
      <c r="C81" s="77">
        <f>MAX(Data!C17,0)</f>
        <v>1003</v>
      </c>
      <c r="D81" s="159">
        <f>C81/$C$74</f>
        <v>6.208277497005729E-4</v>
      </c>
      <c r="E81" s="180">
        <f>E74*F81</f>
        <v>1003.0000000000001</v>
      </c>
      <c r="F81" s="160">
        <f>I81</f>
        <v>6.208277497005729E-4</v>
      </c>
      <c r="H81" s="238">
        <f>Inputs!F94</f>
        <v>1003.0000000000001</v>
      </c>
      <c r="I81" s="160">
        <f>H81/$H$74</f>
        <v>6.208277497005729E-4</v>
      </c>
      <c r="K81" s="24"/>
    </row>
    <row r="82" spans="1:11" ht="15" customHeight="1" x14ac:dyDescent="0.4">
      <c r="B82" s="28" t="s">
        <v>246</v>
      </c>
      <c r="C82" s="77">
        <f>ABS(MAX(Data!C21,0)-MAX(Data!C19,0))</f>
        <v>20662</v>
      </c>
      <c r="D82" s="159">
        <f>C82/$C$74</f>
        <v>1.2789175437999239E-2</v>
      </c>
      <c r="E82" s="238">
        <f>Inputs!E95</f>
        <v>20662</v>
      </c>
      <c r="F82" s="160">
        <f>E82/E74</f>
        <v>1.2789175437999239E-2</v>
      </c>
      <c r="H82" s="238">
        <f>Inputs!F95</f>
        <v>20662</v>
      </c>
      <c r="I82" s="160">
        <f>H82/$H$74</f>
        <v>1.2789175437999239E-2</v>
      </c>
      <c r="K82" s="24"/>
    </row>
    <row r="83" spans="1:11" ht="15" customHeight="1" thickBot="1" x14ac:dyDescent="0.45">
      <c r="B83" s="105" t="s">
        <v>125</v>
      </c>
      <c r="C83" s="163">
        <f>C79-C81-C82-C80</f>
        <v>80557</v>
      </c>
      <c r="D83" s="164">
        <f>C83/$C$74</f>
        <v>4.9862433731434744E-2</v>
      </c>
      <c r="E83" s="165">
        <f>E79-E81-E82-E80</f>
        <v>80557</v>
      </c>
      <c r="F83" s="164">
        <f>E83/E74</f>
        <v>4.9862433731434744E-2</v>
      </c>
      <c r="H83" s="165">
        <f>H79-H81-H82-H80</f>
        <v>80557</v>
      </c>
      <c r="I83" s="164">
        <f>H83/$H$74</f>
        <v>4.9862433731434744E-2</v>
      </c>
      <c r="K83" s="24"/>
    </row>
    <row r="84" spans="1:11" ht="15" customHeight="1" thickTop="1" x14ac:dyDescent="0.4">
      <c r="B84" s="28" t="s">
        <v>96</v>
      </c>
      <c r="C84" s="211"/>
      <c r="D84" s="159">
        <f>I84</f>
        <v>0.25</v>
      </c>
      <c r="E84" s="212"/>
      <c r="F84" s="179">
        <f t="shared" ref="F84" si="3">I84</f>
        <v>0.25</v>
      </c>
      <c r="H84" s="212"/>
      <c r="I84" s="202">
        <f>Inputs!C16</f>
        <v>0.25</v>
      </c>
      <c r="K84" s="24"/>
    </row>
    <row r="85" spans="1:11" ht="15" customHeight="1" x14ac:dyDescent="0.4">
      <c r="B85" s="263" t="s">
        <v>164</v>
      </c>
      <c r="C85" s="257">
        <f>C83*(1-I84)</f>
        <v>60417.75</v>
      </c>
      <c r="D85" s="258">
        <f>C85/$C$74</f>
        <v>3.7396825298576054E-2</v>
      </c>
      <c r="E85" s="264">
        <f>E83*(1-F84)</f>
        <v>60417.75</v>
      </c>
      <c r="F85" s="258">
        <f>E85/E74</f>
        <v>3.7396825298576054E-2</v>
      </c>
      <c r="G85" s="260"/>
      <c r="H85" s="264">
        <f>H83*(1-I84)</f>
        <v>60417.75</v>
      </c>
      <c r="I85" s="258">
        <f>H85/$H$74</f>
        <v>3.7396825298576054E-2</v>
      </c>
      <c r="K85" s="24"/>
    </row>
    <row r="86" spans="1:11" ht="15" customHeight="1" x14ac:dyDescent="0.4">
      <c r="B86" s="87" t="s">
        <v>160</v>
      </c>
      <c r="C86" s="167">
        <f>C85*Data!C4/Common_Shares</f>
        <v>4.5313306835836648E-2</v>
      </c>
      <c r="D86" s="209"/>
      <c r="E86" s="168">
        <f>E85*Data!C4/Common_Shares</f>
        <v>4.5313306835836648E-2</v>
      </c>
      <c r="F86" s="209"/>
      <c r="H86" s="168">
        <f>H85*Data!C4/Common_Shares</f>
        <v>4.5313306835836648E-2</v>
      </c>
      <c r="I86" s="209"/>
      <c r="K86" s="24"/>
    </row>
    <row r="87" spans="1:11" ht="15" customHeight="1" x14ac:dyDescent="0.4">
      <c r="B87" s="87" t="s">
        <v>208</v>
      </c>
      <c r="C87" s="261">
        <f>C86*Exchange_Rate/Dashboard!G3</f>
        <v>2.5256521079481696E-2</v>
      </c>
      <c r="D87" s="209"/>
      <c r="E87" s="262">
        <f>E86*Exchange_Rate/Dashboard!G3</f>
        <v>2.5256521079481696E-2</v>
      </c>
      <c r="F87" s="209"/>
      <c r="H87" s="262">
        <f>H86*Exchange_Rate/Dashboard!G3</f>
        <v>2.5256521079481696E-2</v>
      </c>
      <c r="I87" s="209"/>
      <c r="K87" s="24"/>
    </row>
    <row r="88" spans="1:11" ht="15" customHeight="1" x14ac:dyDescent="0.4">
      <c r="B88" s="86" t="s">
        <v>207</v>
      </c>
      <c r="C88" s="169">
        <f>Inputs!C44</f>
        <v>0.1178</v>
      </c>
      <c r="D88" s="166">
        <f>C88/C86</f>
        <v>2.5996778479834153</v>
      </c>
      <c r="E88" s="170">
        <f>Inputs!E98</f>
        <v>0.1178</v>
      </c>
      <c r="F88" s="166">
        <f>E88/E86</f>
        <v>2.5996778479834153</v>
      </c>
      <c r="H88" s="170">
        <f>Inputs!F98</f>
        <v>0.1178</v>
      </c>
      <c r="I88" s="166">
        <f>H88/H86</f>
        <v>2.5996778479834153</v>
      </c>
      <c r="K88" s="24"/>
    </row>
    <row r="89" spans="1:11" ht="15" customHeight="1" x14ac:dyDescent="0.4">
      <c r="B89" s="87" t="s">
        <v>221</v>
      </c>
      <c r="C89" s="261">
        <f>C88*Exchange_Rate/Dashboard!G3</f>
        <v>6.5658818367454741E-2</v>
      </c>
      <c r="D89" s="209"/>
      <c r="E89" s="261">
        <f>E88*Exchange_Rate/Dashboard!G3</f>
        <v>6.5658818367454741E-2</v>
      </c>
      <c r="F89" s="209"/>
      <c r="H89" s="261">
        <f>H88*Exchange_Rate/Dashboard!G3</f>
        <v>6.5658818367454741E-2</v>
      </c>
      <c r="I89" s="209"/>
      <c r="K89" s="24"/>
    </row>
    <row r="90" spans="1:11" ht="15" customHeight="1" x14ac:dyDescent="0.4">
      <c r="B90" s="28"/>
      <c r="C90" s="88"/>
    </row>
    <row r="91" spans="1:11" ht="15" customHeight="1" x14ac:dyDescent="0.4">
      <c r="A91" s="5"/>
      <c r="B91" s="106" t="str">
        <f xml:space="preserve"> "Valuation Drivers in "&amp;Dashboard!H3</f>
        <v>Valuation Drivers in HKD</v>
      </c>
      <c r="C91" s="21"/>
      <c r="K91" s="50" t="s">
        <v>132</v>
      </c>
    </row>
    <row r="92" spans="1:11" ht="15" customHeight="1" x14ac:dyDescent="0.4">
      <c r="B92" s="10" t="s">
        <v>155</v>
      </c>
      <c r="C92" s="198" t="str">
        <f>Inputs!C15</f>
        <v>CN</v>
      </c>
      <c r="D92" s="10" t="s">
        <v>156</v>
      </c>
      <c r="E92" s="285" t="s">
        <v>206</v>
      </c>
      <c r="F92" s="285"/>
      <c r="G92" s="87"/>
      <c r="H92" s="285" t="s">
        <v>205</v>
      </c>
      <c r="I92" s="285"/>
      <c r="K92" s="24"/>
    </row>
    <row r="93" spans="1:11" ht="15" customHeight="1" x14ac:dyDescent="0.4">
      <c r="B93" s="1" t="str">
        <f>C92&amp;" Discount Rate"</f>
        <v>CN Discount Rate</v>
      </c>
      <c r="C93" s="136">
        <f>IF(C92="CN",Dashboard!C17,IF(C92="US",Dashboard!C12,IF(C92="HK",Dashboard!D12,Dashboard!D17)))</f>
        <v>8.6249999999999993E-2</v>
      </c>
      <c r="D93" s="239">
        <f>Inputs!C86</f>
        <v>5</v>
      </c>
      <c r="E93" s="87" t="s">
        <v>209</v>
      </c>
      <c r="F93" s="144">
        <f>FV(E87,D93,0,-(E86/(C93-D94)))*Exchange_Rate</f>
        <v>0.82918526630944001</v>
      </c>
      <c r="H93" s="87" t="s">
        <v>209</v>
      </c>
      <c r="I93" s="144">
        <f>FV(H87,D93,0,-(H86/(C93-D94)))*Exchange_Rate</f>
        <v>0.82918526630944001</v>
      </c>
      <c r="K93" s="24"/>
    </row>
    <row r="94" spans="1:11" ht="15" customHeight="1" x14ac:dyDescent="0.4">
      <c r="B94" s="1" t="s">
        <v>211</v>
      </c>
      <c r="C94" s="182">
        <f>Dashboard!G20</f>
        <v>0.15</v>
      </c>
      <c r="D94" s="270">
        <f>Inputs!D87</f>
        <v>0.02</v>
      </c>
      <c r="E94" s="87" t="s">
        <v>210</v>
      </c>
      <c r="F94" s="144">
        <f>FV(E89,D93,0,-(E88/(C93-D94)))*Exchange_Rate</f>
        <v>2.6151663789789543</v>
      </c>
      <c r="H94" s="87" t="s">
        <v>210</v>
      </c>
      <c r="I94" s="144">
        <f>FV(H89,D93,0,-(H88/(C93-D94)))*Exchange_Rate</f>
        <v>2.6151663789789543</v>
      </c>
      <c r="K94" s="24"/>
    </row>
    <row r="95" spans="1:11" ht="15" customHeight="1" x14ac:dyDescent="0.4">
      <c r="E95" s="24"/>
      <c r="K95" s="24"/>
    </row>
    <row r="96" spans="1:11" ht="15" customHeight="1" x14ac:dyDescent="0.4">
      <c r="A96" s="5"/>
      <c r="B96" s="106" t="str">
        <f xml:space="preserve"> "Valuation in "&amp;Dashboard!H3</f>
        <v>Valuation in HKD</v>
      </c>
      <c r="C96" s="127" t="str">
        <f>Dashboard!H3</f>
        <v>HKD</v>
      </c>
      <c r="D96" s="124" t="s">
        <v>213</v>
      </c>
      <c r="E96" s="183" t="str">
        <f>E72</f>
        <v>Pessimistic Case</v>
      </c>
      <c r="F96" s="227" t="s">
        <v>237</v>
      </c>
      <c r="H96" s="183" t="str">
        <f>H72</f>
        <v>Base Case</v>
      </c>
      <c r="I96" s="124" t="s">
        <v>114</v>
      </c>
      <c r="K96" s="24"/>
    </row>
    <row r="97" spans="2:11" ht="15" customHeight="1" x14ac:dyDescent="0.4">
      <c r="B97" s="1" t="s">
        <v>130</v>
      </c>
      <c r="C97" s="91">
        <f>H97*Common_Shares/Data!C4</f>
        <v>549668.9002568312</v>
      </c>
      <c r="D97" s="213"/>
      <c r="E97" s="123">
        <f>PV(C94,D93,0,-F93)</f>
        <v>0.41225162366117046</v>
      </c>
      <c r="F97" s="213"/>
      <c r="H97" s="123">
        <f>PV(C94,D93,0,-I93)</f>
        <v>0.41225162366117046</v>
      </c>
      <c r="I97" s="123">
        <f>PV(C93,D93,0,-I93)</f>
        <v>0.54828028427915509</v>
      </c>
      <c r="K97" s="24"/>
    </row>
    <row r="98" spans="2:11" ht="15" customHeight="1" x14ac:dyDescent="0.4">
      <c r="B98" s="28" t="s">
        <v>144</v>
      </c>
      <c r="C98" s="91">
        <f>-E53*Exchange_Rate</f>
        <v>-4269.9412202835083</v>
      </c>
      <c r="D98" s="213"/>
      <c r="E98" s="213"/>
      <c r="F98" s="213"/>
      <c r="H98" s="123">
        <f>C98*Data!$C$4/Common_Shares</f>
        <v>-3.2024555149056918E-3</v>
      </c>
      <c r="I98" s="215"/>
      <c r="K98" s="24"/>
    </row>
    <row r="99" spans="2:11" ht="15" customHeight="1" thickBot="1" x14ac:dyDescent="0.45">
      <c r="B99" s="105" t="s">
        <v>145</v>
      </c>
      <c r="C99" s="108">
        <f>(E65-IF(E70&lt;0,MIN(E65,ABS(E70)),0))*Exchange_Rate</f>
        <v>2127063.7277592816</v>
      </c>
      <c r="D99" s="214"/>
      <c r="E99" s="145">
        <f>IF(H99&gt;0,H99*(1-C94),H99*(1+C94))</f>
        <v>1.3560029569461725</v>
      </c>
      <c r="F99" s="214"/>
      <c r="H99" s="145">
        <f>C99*Data!$C$4/Common_Shares</f>
        <v>1.5952975964072618</v>
      </c>
      <c r="I99" s="216"/>
      <c r="K99" s="24"/>
    </row>
    <row r="100" spans="2:11" ht="15" customHeight="1" thickTop="1" x14ac:dyDescent="0.4">
      <c r="B100" s="1" t="s">
        <v>114</v>
      </c>
      <c r="C100" s="91">
        <f>C97+C98+$C$99</f>
        <v>2672462.6867958293</v>
      </c>
      <c r="D100" s="109">
        <f>MIN(F100*(1-C94),E100)</f>
        <v>1.6019945280995345</v>
      </c>
      <c r="E100" s="109">
        <f>MAX(E97+H98+E99,0)</f>
        <v>1.7650521250924371</v>
      </c>
      <c r="F100" s="109">
        <f>(E100+H100)/2</f>
        <v>1.8846994448229817</v>
      </c>
      <c r="H100" s="109">
        <f>MAX(C100*Data!$C$4/Common_Shares,0)</f>
        <v>2.0043467645535262</v>
      </c>
      <c r="I100" s="109">
        <f>MAX(I97+H98+H99,0)</f>
        <v>2.140375425171511</v>
      </c>
      <c r="K100" s="24"/>
    </row>
    <row r="101" spans="2:11" ht="15" customHeight="1" x14ac:dyDescent="0.4">
      <c r="E101" s="24"/>
      <c r="K101" s="24"/>
    </row>
    <row r="102" spans="2:11" ht="15" customHeight="1" x14ac:dyDescent="0.4">
      <c r="B102" s="10" t="s">
        <v>162</v>
      </c>
      <c r="C102" s="127" t="str">
        <f>C96</f>
        <v>HKD</v>
      </c>
      <c r="D102" s="124" t="s">
        <v>213</v>
      </c>
      <c r="E102" s="183" t="str">
        <f>E96</f>
        <v>Pessimistic Case</v>
      </c>
      <c r="F102" s="227" t="s">
        <v>237</v>
      </c>
      <c r="H102" s="183" t="str">
        <f>H96</f>
        <v>Base Case</v>
      </c>
      <c r="I102" s="124" t="s">
        <v>114</v>
      </c>
      <c r="K102" s="24"/>
    </row>
    <row r="103" spans="2:11" ht="15" customHeight="1" x14ac:dyDescent="0.4">
      <c r="B103" s="1" t="s">
        <v>161</v>
      </c>
      <c r="C103" s="91">
        <f>H103*Common_Shares/Data!C4</f>
        <v>1733600.0601167895</v>
      </c>
      <c r="D103" s="109">
        <f>MIN(F103*(1-C94),E103)</f>
        <v>1.1051699001782158</v>
      </c>
      <c r="E103" s="123">
        <f>PV(C94,D93,0,-F94)</f>
        <v>1.3001998825626069</v>
      </c>
      <c r="F103" s="109">
        <f>(E103+H103)/2</f>
        <v>1.3001998825626069</v>
      </c>
      <c r="H103" s="123">
        <f>PV(C94,D93,0,-I94)</f>
        <v>1.3001998825626069</v>
      </c>
      <c r="I103" s="109">
        <f>PV(C93,D93,0,-I94)</f>
        <v>1.7292205059137891</v>
      </c>
      <c r="K103" s="24"/>
    </row>
    <row r="104" spans="2:11" ht="15" customHeight="1" x14ac:dyDescent="0.4">
      <c r="E104" s="24"/>
      <c r="K104" s="24"/>
    </row>
    <row r="105" spans="2:11" ht="15" customHeight="1" x14ac:dyDescent="0.4">
      <c r="B105" s="10" t="s">
        <v>197</v>
      </c>
      <c r="C105" s="127" t="str">
        <f>C102</f>
        <v>HKD</v>
      </c>
      <c r="D105" s="124" t="s">
        <v>213</v>
      </c>
      <c r="E105" s="184" t="str">
        <f>E96</f>
        <v>Pessimistic Case</v>
      </c>
      <c r="F105" s="227" t="s">
        <v>237</v>
      </c>
      <c r="H105" s="184" t="str">
        <f>H96</f>
        <v>Base Case</v>
      </c>
      <c r="I105" s="124" t="s">
        <v>114</v>
      </c>
      <c r="K105" s="24"/>
    </row>
    <row r="106" spans="2:11" ht="15" customHeight="1" x14ac:dyDescent="0.4">
      <c r="B106" s="1" t="s">
        <v>198</v>
      </c>
      <c r="C106" s="91">
        <f>E106*Common_Shares/Data!C4</f>
        <v>2043501.5938743632</v>
      </c>
      <c r="D106" s="109">
        <f>(D100+D103)/2</f>
        <v>1.3535822141388751</v>
      </c>
      <c r="E106" s="123">
        <f>(E100+E103)/2</f>
        <v>1.5326260038275219</v>
      </c>
      <c r="F106" s="109">
        <f>(F100+F103)/2</f>
        <v>1.5924496636927943</v>
      </c>
      <c r="H106" s="123">
        <f>(H100+H103)/2</f>
        <v>1.6522733235580667</v>
      </c>
      <c r="I106" s="123">
        <f>(I100+I103)/2</f>
        <v>1.9347979655426499</v>
      </c>
      <c r="K106" s="24"/>
    </row>
    <row r="107" spans="2:11" ht="15" customHeight="1" x14ac:dyDescent="0.4">
      <c r="K107" s="24"/>
    </row>
    <row r="108" spans="2:11" ht="15" customHeight="1" x14ac:dyDescent="0.4">
      <c r="B108" s="10" t="s">
        <v>165</v>
      </c>
      <c r="C108" s="128" t="str">
        <f>Inputs!C87</f>
        <v>Avg</v>
      </c>
      <c r="K108" s="24"/>
    </row>
  </sheetData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20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4</vt:i4>
      </vt:variant>
      <vt:variant>
        <vt:lpstr>命名范围</vt:lpstr>
      </vt:variant>
      <vt:variant>
        <vt:i4>2</vt:i4>
      </vt:variant>
    </vt:vector>
  </HeadingPairs>
  <TitlesOfParts>
    <vt:vector size="6" baseType="lpstr">
      <vt:lpstr>Inputs</vt:lpstr>
      <vt:lpstr>Dashboard</vt:lpstr>
      <vt:lpstr>Data</vt:lpstr>
      <vt:lpstr>Fin_Analysis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2024-12-13T06:17:32Z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