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D29453C-0313-4AE0-8C3E-208090CA1EE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43" i="4"/>
  <c r="D40" i="4"/>
  <c r="D39" i="4"/>
  <c r="D35" i="4"/>
  <c r="E27" i="4"/>
  <c r="D27" i="4"/>
  <c r="C27" i="4"/>
  <c r="M52" i="2"/>
  <c r="F95" i="4" l="1"/>
  <c r="F97" i="4"/>
  <c r="E95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<sst xmlns="http://schemas.openxmlformats.org/spreadsheetml/2006/main" count="391" uniqueCount="271">
  <si>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</si>
  <si>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</si>
  <si>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</si>
  <si>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</si>
  <si>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</si>
  <si>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</si>
  <si>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</si>
  <si>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</si>
  <si>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</si>
  <si>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</si>
  <si>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</si>
  <si>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</si>
  <si>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</si>
  <si>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</si>
  <si>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</si>
  <si>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</si>
  <si>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</si>
  <si>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</si>
  <si>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</si>
  <si>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</si>
  <si>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</si>
  <si>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</si>
  <si>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</si>
  <si>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</si>
  <si>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</si>
  <si>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</si>
  <si>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</si>
  <si>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</si>
  <si>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</si>
  <si>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</si>
  <si>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</si>
  <si>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</si>
  <si>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</si>
  <si>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</si>
  <si>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</si>
  <si>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</si>
  <si>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</si>
  <si>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</si>
  <si>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</si>
  <si>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</si>
  <si>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</si>
  <si>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</si>
  <si>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</si>
  <si>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</si>
  <si>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</si>
  <si>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</si>
  <si>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</si>
  <si>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</si>
  <si>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</si>
  <si>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</si>
  <si>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</si>
  <si>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</si>
  <si>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</si>
  <si>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</si>
  <si>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</si>
  <si>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</si>
  <si>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</si>
  <si>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</si>
  <si>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</si>
  <si>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</si>
  <si>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</si>
  <si>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</si>
  <si>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</si>
  <si>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</si>
  <si>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</si>
  <si>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</si>
  <si>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</si>
  <si>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</si>
  <si>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</si>
  <si>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</si>
  <si>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</si>
  <si>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</si>
  <si>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</si>
  <si>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</si>
  <si>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</si>
  <si>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</si>
  <si>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</si>
  <si>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</si>
  <si>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</si>
  <si>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</si>
  <si>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</si>
  <si>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</si>
  <si>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</si>
  <si>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</si>
  <si>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</si>
  <si>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</si>
  <si>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</si>
  <si>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</si>
  <si>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</si>
  <si>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</si>
  <si>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</si>
  <si>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</si>
  <si>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</si>
  <si>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</si>
  <si>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</si>
  <si>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</si>
  <si>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</si>
  <si>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</si>
  <si>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</si>
  <si>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</si>
  <si>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</si>
  <si>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</si>
  <si>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</si>
  <si>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</si>
  <si>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</si>
  <si>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</si>
  <si>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</si>
  <si>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</si>
  <si>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</si>
  <si>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</si>
  <si>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</si>
  <si>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</si>
  <si>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</si>
  <si>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</si>
  <si>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</si>
  <si>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</si>
  <si>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</si>
  <si>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</si>
  <si>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</si>
  <si>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</si>
  <si>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</si>
  <si>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</si>
  <si>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</si>
  <si>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</si>
  <si>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</si>
  <si>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</si>
  <si>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</si>
  <si>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</si>
  <si>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</si>
  <si>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</si>
  <si>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</si>
  <si>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</si>
  <si>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</si>
  <si>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</si>
  <si>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</si>
  <si>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</si>
  <si>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</si>
  <si>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</si>
  <si>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</si>
  <si>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</si>
  <si>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</si>
  <si>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</si>
  <si>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</si>
  <si>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</si>
  <si>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</si>
  <si>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</si>
  <si>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</si>
  <si>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</si>
  <si>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</si>
  <si>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</si>
  <si>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</si>
  <si>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</si>
  <si>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</si>
  <si>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</si>
  <si>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</si>
  <si>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</si>
  <si>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</si>
  <si>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</si>
  <si>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</si>
  <si>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</si>
  <si>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</si>
  <si>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</si>
  <si>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</si>
  <si>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</si>
  <si>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</si>
  <si>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</si>
  <si>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</si>
  <si>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</si>
  <si>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</si>
  <si>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</si>
  <si>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</si>
  <si>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</si>
  <si>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</si>
  <si>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</si>
  <si>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</si>
  <si>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</si>
  <si>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</si>
  <si>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</si>
  <si>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</si>
  <si>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</si>
  <si>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</si>
  <si>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</si>
  <si>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</si>
  <si>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</si>
  <si>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</si>
  <si>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</si>
  <si>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</si>
  <si>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</si>
  <si>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</si>
  <si>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</si>
  <si>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</si>
  <si>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</si>
  <si>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</si>
  <si>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</si>
  <si>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</si>
  <si>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</si>
  <si>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</si>
  <si>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</si>
  <si>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</si>
  <si>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</si>
  <si>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</si>
  <si>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</si>
  <si>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</si>
  <si>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</si>
  <si>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</si>
  <si>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</si>
  <si>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</si>
  <si>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</si>
  <si>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</si>
  <si>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</si>
  <si>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</si>
  <si>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</si>
  <si>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</si>
  <si>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</si>
  <si>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</si>
  <si>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</si>
  <si>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</si>
  <si>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</si>
  <si>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</si>
  <si>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</si>
  <si>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</si>
  <si>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</si>
  <si>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</si>
  <si>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</si>
  <si>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</si>
  <si>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</si>
  <si>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</si>
  <si>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</si>
  <si>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</si>
  <si>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</si>
  <si>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</si>
  <si>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</si>
  <si>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</si>
  <si>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</si>
  <si>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</si>
  <si>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</si>
  <si>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</si>
  <si>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</si>
  <si>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</si>
  <si>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</si>
  <si>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</si>
  <si>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</si>
  <si>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</si>
  <si>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</si>
  <si>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</si>
  <si>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</si>
  <si>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</si>
  <si>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</si>
  <si>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</si>
  <si>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</si>
  <si>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</si>
  <si>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</si>
  <si>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</si>
  <si>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</si>
  <si>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</si>
  <si>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</si>
  <si>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</si>
  <si>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</si>
  <si>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</si>
  <si>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</si>
  <si>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</si>
  <si>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</si>
  <si>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</si>
  <si>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</si>
  <si>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</si>
  <si>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9988.HK</t>
  </si>
  <si>
    <t>阿里巴巴</t>
  </si>
  <si>
    <t xml:space="preserve">Superior Cycl. </t>
  </si>
  <si>
    <t>C0009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</si>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</sst>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0.62297379426414834</c:v>
                </c:pt>
                <c:pt idx="1">
                  <c:v>0.22247037723339511</c:v>
                </c:pt>
                <c:pt idx="2">
                  <c:v>3.796700836974199E-4</c:v>
                </c:pt>
                <c:pt idx="3">
                  <c:v>0</c:v>
                </c:pt>
                <c:pt idx="4">
                  <c:v>8.4437634938714454E-3</c:v>
                </c:pt>
                <c:pt idx="5">
                  <c:v>0</c:v>
                </c:pt>
                <c:pt idx="6">
                  <c:v>0.14573239492488765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268</v>
      </c>
    </row>
    <row r="10" spans="1:5" ht="13.9" x14ac:dyDescent="0.4">
      <c r="B10" s="140" t="s">
        <v>217</v>
      </c>
      <c r="C10" s="193">
        <v>19118002388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45382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45565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9">
        <v>941168</v>
      </c>
      <c r="D25" s="149">
        <v>868687</v>
      </c>
      <c r="E25" s="149">
        <v>853062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586323</v>
      </c>
      <c r="D26" s="150">
        <v>549695</v>
      </c>
      <c r="E26" s="150">
        <v>539450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115141+41985</f>
        <v>157126</v>
      </c>
      <c r="D27" s="150">
        <f>103496+42183</f>
        <v>145679</v>
      </c>
      <c r="E27" s="150">
        <f>119799+31922</f>
        <v>151721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52256</v>
      </c>
      <c r="D28" s="150">
        <v>56744</v>
      </c>
      <c r="E28" s="150">
        <v>55465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7947</v>
      </c>
      <c r="D29" s="150">
        <v>5918</v>
      </c>
      <c r="E29" s="150">
        <v>4909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268</v>
      </c>
      <c r="D30" s="150">
        <v>274</v>
      </c>
      <c r="E30" s="150">
        <v>290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431184</f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f>504914+87402</f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f>872836+171260</f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211741+3338+99866+1800+540000+8670910+10440941</f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0.125*7.2</f>
        <v>0.9</v>
      </c>
      <c r="D44" s="250">
        <f>0.125*7.2</f>
        <v>0.9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1.1076994090329785E-2</v>
      </c>
      <c r="D45" s="152">
        <f>IF(D44="","",D44*Exchange_Rate/Dashboard!$G$3)</f>
        <v>1.1076994090329785E-2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45382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941168</v>
      </c>
      <c r="D91" s="209"/>
      <c r="E91" s="251">
        <f>C91</f>
        <v>941168</v>
      </c>
      <c r="F91" s="251">
        <f>C91</f>
        <v>941168</v>
      </c>
    </row>
    <row r="92" spans="2:8" ht="13.9" x14ac:dyDescent="0.4">
      <c r="B92" s="104" t="s">
        <v>105</v>
      </c>
      <c r="C92" s="77">
        <f>C26</f>
        <v>586323</v>
      </c>
      <c r="D92" s="159">
        <f>C92/C91</f>
        <v>0.62297379426414834</v>
      </c>
      <c r="E92" s="252">
        <f>E91*D92</f>
        <v>586323</v>
      </c>
      <c r="F92" s="252">
        <f>F91*D92</f>
        <v>586323</v>
      </c>
    </row>
    <row r="93" spans="2:8" ht="13.9" x14ac:dyDescent="0.4">
      <c r="B93" s="104" t="s">
        <v>247</v>
      </c>
      <c r="C93" s="77">
        <f>C27+C28</f>
        <v>209382</v>
      </c>
      <c r="D93" s="159">
        <f>C93/C91</f>
        <v>0.22247037723339511</v>
      </c>
      <c r="E93" s="252">
        <f>E91*D93</f>
        <v>209382</v>
      </c>
      <c r="F93" s="252">
        <f>F91*D93</f>
        <v>209382</v>
      </c>
    </row>
    <row r="94" spans="2:8" ht="13.9" x14ac:dyDescent="0.4">
      <c r="B94" s="104" t="s">
        <v>257</v>
      </c>
      <c r="C94" s="77">
        <f>C29</f>
        <v>7947</v>
      </c>
      <c r="D94" s="159">
        <f>C94/C91</f>
        <v>8.4437634938714454E-3</v>
      </c>
      <c r="E94" s="253"/>
      <c r="F94" s="252">
        <f>F91*D94</f>
        <v>7947.0000000000009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357.33333333333331</v>
      </c>
      <c r="D97" s="159">
        <f>C97/C91</f>
        <v>3.796700836974199E-4</v>
      </c>
      <c r="E97" s="253"/>
      <c r="F97" s="252">
        <f>F91*D97</f>
        <v>357.33333333333331</v>
      </c>
    </row>
    <row r="98" spans="2:7" ht="13.9" x14ac:dyDescent="0.4">
      <c r="B98" s="86" t="s">
        <v>207</v>
      </c>
      <c r="C98" s="237">
        <f>C44</f>
        <v>0.9</v>
      </c>
      <c r="D98" s="266"/>
      <c r="E98" s="254">
        <f>F98</f>
        <v>0.9</v>
      </c>
      <c r="F98" s="254">
        <f>C98</f>
        <v>0.9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9988.HK : 阿里巴巴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9988.HK</v>
      </c>
      <c r="D3" s="278"/>
      <c r="E3" s="87"/>
      <c r="F3" s="3" t="s">
        <v>1</v>
      </c>
      <c r="G3" s="132">
        <v>86.95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阿里巴巴</v>
      </c>
      <c r="D4" s="280"/>
      <c r="E4" s="87"/>
      <c r="F4" s="3" t="s">
        <v>2</v>
      </c>
      <c r="G4" s="283">
        <f>Inputs!C10</f>
        <v>19118002388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1662310.3076366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C0009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0.62297379426414834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0.22247037723339511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3.796700836974199E-4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8.4437634938714454E-3</v>
      </c>
      <c r="F24" s="140" t="s">
        <v>260</v>
      </c>
      <c r="G24" s="268">
        <f>G3/(Fin_Analysis!H86*G7)</f>
        <v>15100.056729876427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167.26323916048565</v>
      </c>
    </row>
    <row r="26" spans="1:8" ht="15.75" customHeight="1" x14ac:dyDescent="0.4">
      <c r="B26" s="138" t="s">
        <v>173</v>
      </c>
      <c r="C26" s="171">
        <f>Fin_Analysis!I83</f>
        <v>0.14573239492488765</v>
      </c>
      <c r="F26" s="141" t="s">
        <v>193</v>
      </c>
      <c r="G26" s="178">
        <f>Fin_Analysis!H88*Exchange_Rate/G3</f>
        <v>1.1076994090329785E-2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3.6743341530627437E-2</v>
      </c>
      <c r="D29" s="129">
        <f>G29*(1+G20)</f>
        <v>6.6114667584916353E-2</v>
      </c>
      <c r="E29" s="87"/>
      <c r="F29" s="131">
        <f>IF(Fin_Analysis!C108="Profit",Fin_Analysis!F100,IF(Fin_Analysis!C108="Dividend",Fin_Analysis!F103,Fin_Analysis!F106))</f>
        <v>4.3227460624267577E-2</v>
      </c>
      <c r="G29" s="274">
        <f>IF(Fin_Analysis!C108="Profit",Fin_Analysis!I100,IF(Fin_Analysis!C108="Dividend",Fin_Analysis!I103,Fin_Analysis!I106))</f>
        <v>5.7491015291231615E-2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45382</v>
      </c>
      <c r="E3" s="146" t="s">
        <v>200</v>
      </c>
      <c r="F3" s="85" t="str">
        <f>H14</f>
        <v/>
      </c>
      <c r="G3" s="85">
        <f>C14</f>
        <v>145105.66666666666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0">
        <f>IF(Inputs!C25=""," ",Inputs!C25)</f>
        <v>941168</v>
      </c>
      <c r="D6" s="200">
        <f>IF(Inputs!D25="","",Inputs!D25)</f>
        <v>868687</v>
      </c>
      <c r="E6" s="200">
        <f>IF(Inputs!E25="","",Inputs!E25)</f>
        <v>853062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8.3437417619925291E-2</v>
      </c>
      <c r="D7" s="92">
        <f t="shared" si="1"/>
        <v>1.8316370908562307E-2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586323</v>
      </c>
      <c r="D8" s="199">
        <f>IF(Inputs!D26="","",Inputs!D26)</f>
        <v>549695</v>
      </c>
      <c r="E8" s="199">
        <f>IF(Inputs!E26="","",Inputs!E26)</f>
        <v>539450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354845</v>
      </c>
      <c r="D9" s="151">
        <f t="shared" si="2"/>
        <v>318992</v>
      </c>
      <c r="E9" s="151">
        <f t="shared" si="2"/>
        <v>313612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157126</v>
      </c>
      <c r="D10" s="199">
        <f>IF(Inputs!D27="","",Inputs!D27)</f>
        <v>145679</v>
      </c>
      <c r="E10" s="199">
        <f>IF(Inputs!E27="","",Inputs!E27)</f>
        <v>151721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52256</v>
      </c>
      <c r="D11" s="199">
        <f>IF(Inputs!D28="","",Inputs!D28)</f>
        <v>56744</v>
      </c>
      <c r="E11" s="199">
        <f>IF(Inputs!E28="","",Inputs!E28)</f>
        <v>55465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357.33333333333331</v>
      </c>
      <c r="D12" s="199">
        <f>IF(Inputs!D30="","",MAX(Inputs!D30,0)/(1-Fin_Analysis!$I$84))</f>
        <v>365.33333333333331</v>
      </c>
      <c r="E12" s="199">
        <f>IF(Inputs!E30="","",MAX(Inputs!E30,0)/(1-Fin_Analysis!$I$84))</f>
        <v>386.66666666666669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0.15417615841875909</v>
      </c>
      <c r="D13" s="229">
        <f t="shared" si="3"/>
        <v>0.13376931698835906</v>
      </c>
      <c r="E13" s="229">
        <f t="shared" si="3"/>
        <v>0.12430436865472068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145105.66666666666</v>
      </c>
      <c r="D14" s="230">
        <f t="shared" ref="D14:M14" si="4">IF(D6="","",D9-D10-MAX(D11,0)-MAX(D12,0))</f>
        <v>116203.66666666667</v>
      </c>
      <c r="E14" s="230">
        <f t="shared" si="4"/>
        <v>106039.33333333333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0.24871848564732596</v>
      </c>
      <c r="D15" s="232">
        <f t="shared" ref="D15:M15" si="5">IF(E14="","",IF(ABS(D14+E14)=ABS(D14)+ABS(E14),IF(D14&lt;0,-1,1)*(D14-E14)/E14,"Turn"))</f>
        <v>9.5854368504768764E-2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7947</v>
      </c>
      <c r="D17" s="199">
        <f>IF(Inputs!D29="","",Inputs!D29)</f>
        <v>5918</v>
      </c>
      <c r="E17" s="199">
        <f>IF(Inputs!E29="","",Inputs!E29)</f>
        <v>4909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137158.66666666666</v>
      </c>
      <c r="D22" s="161">
        <f t="shared" ref="D22:M22" si="8">IF(D6="","",D14-MAX(D16,0)-MAX(D17,0)-ABS(MAX(D21,0)-MAX(D19,0)))</f>
        <v>110285.66666666667</v>
      </c>
      <c r="E22" s="161">
        <f t="shared" si="8"/>
        <v>101130.33333333333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0.10929929619366574</v>
      </c>
      <c r="D23" s="153">
        <f t="shared" si="9"/>
        <v>9.5217552467114164E-2</v>
      </c>
      <c r="E23" s="153">
        <f t="shared" si="9"/>
        <v>8.8912353381114154E-2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102869</v>
      </c>
      <c r="D24" s="77">
        <f>IF(D6="","",D22*(1-Fin_Analysis!$I$84))</f>
        <v>82714.25</v>
      </c>
      <c r="E24" s="77">
        <f>IF(E6="","",E22*(1-Fin_Analysis!$I$84))</f>
        <v>75847.75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0.24366720365596012</v>
      </c>
      <c r="D25" s="233">
        <f t="shared" ref="D25:M25" si="10">IF(E24="","",IF(ABS(D24+E24)=ABS(D24)+ABS(E24),IF(D24&lt;0,-1,1)*(D24-E24)/E24,"Turn"))</f>
        <v>9.0530042090899196E-2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>
        <f>IF(D6="","",D14/MAX(D39,0))</f>
        <v>7.1615357710300412E-3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0.62297379426414834</v>
      </c>
      <c r="D42" s="156">
        <f t="shared" si="34"/>
        <v>0.63278833457850758</v>
      </c>
      <c r="E42" s="156">
        <f t="shared" si="34"/>
        <v>0.63236904234393276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0.22247037723339511</v>
      </c>
      <c r="D43" s="153">
        <f t="shared" si="35"/>
        <v>0.23302179035717122</v>
      </c>
      <c r="E43" s="153">
        <f t="shared" si="35"/>
        <v>0.24287331987592931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8.4437634938714454E-3</v>
      </c>
      <c r="D45" s="153">
        <f t="shared" si="37"/>
        <v>6.8125803655401775E-3</v>
      </c>
      <c r="E45" s="153">
        <f t="shared" si="37"/>
        <v>5.7545641465684789E-3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3.796700836974199E-4</v>
      </c>
      <c r="D46" s="153">
        <f t="shared" ref="D46:M46" si="38">IF(D6="","",MAX(D12,0)/D6)</f>
        <v>4.205580759621513E-4</v>
      </c>
      <c r="E46" s="153">
        <f t="shared" si="38"/>
        <v>4.5326912541722252E-4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0.14573239492488765</v>
      </c>
      <c r="D48" s="153">
        <f t="shared" si="40"/>
        <v>0.12695673662281889</v>
      </c>
      <c r="E48" s="153">
        <f t="shared" si="40"/>
        <v>0.1185498045081522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>
        <f t="shared" si="41"/>
        <v>0.49636290171258463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>
        <f t="shared" si="42"/>
        <v>2.5993931070684839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>
        <f t="shared" ref="D54:M54" si="44">IF(D36="","",(D27-D36)/D27)</f>
        <v>0.27242491285597292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>
        <f t="shared" si="45"/>
        <v>6.7394804405410541E-2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5.7940195782986134E-2</v>
      </c>
      <c r="D56" s="153">
        <f t="shared" si="46"/>
        <v>5.3660644931193838E-2</v>
      </c>
      <c r="E56" s="153">
        <f t="shared" si="46"/>
        <v>4.8541321265297921E-2</v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>
        <f t="shared" si="47"/>
        <v>3.055211094750502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45382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941168</v>
      </c>
      <c r="D74" s="209"/>
      <c r="E74" s="238">
        <f>Inputs!E91</f>
        <v>941168</v>
      </c>
      <c r="F74" s="209"/>
      <c r="H74" s="238">
        <f>Inputs!F91</f>
        <v>941168</v>
      </c>
      <c r="I74" s="209"/>
      <c r="K74" s="24"/>
    </row>
    <row r="75" spans="1:11" ht="15" customHeight="1" x14ac:dyDescent="0.4">
      <c r="B75" s="104" t="s">
        <v>105</v>
      </c>
      <c r="C75" s="77">
        <f>Data!C8</f>
        <v>586323</v>
      </c>
      <c r="D75" s="159">
        <f>C75/$C$74</f>
        <v>0.62297379426414834</v>
      </c>
      <c r="E75" s="238">
        <f>Inputs!E92</f>
        <v>586323</v>
      </c>
      <c r="F75" s="160">
        <f>E75/E74</f>
        <v>0.62297379426414834</v>
      </c>
      <c r="H75" s="238">
        <f>Inputs!F92</f>
        <v>586323</v>
      </c>
      <c r="I75" s="160">
        <f>H75/$H$74</f>
        <v>0.62297379426414834</v>
      </c>
      <c r="K75" s="24"/>
    </row>
    <row r="76" spans="1:11" ht="15" customHeight="1" x14ac:dyDescent="0.4">
      <c r="B76" s="35" t="s">
        <v>95</v>
      </c>
      <c r="C76" s="161">
        <f>C74-C75</f>
        <v>354845</v>
      </c>
      <c r="D76" s="210"/>
      <c r="E76" s="162">
        <f>E74-E75</f>
        <v>354845</v>
      </c>
      <c r="F76" s="210"/>
      <c r="H76" s="162">
        <f>H74-H75</f>
        <v>354845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209382</v>
      </c>
      <c r="D77" s="159">
        <f>C77/$C$74</f>
        <v>0.22247037723339511</v>
      </c>
      <c r="E77" s="238">
        <f>Inputs!E93</f>
        <v>209382</v>
      </c>
      <c r="F77" s="160">
        <f>E77/E74</f>
        <v>0.22247037723339511</v>
      </c>
      <c r="H77" s="238">
        <f>Inputs!F93</f>
        <v>209382</v>
      </c>
      <c r="I77" s="160">
        <f>H77/$H$74</f>
        <v>0.22247037723339511</v>
      </c>
      <c r="K77" s="24"/>
    </row>
    <row r="78" spans="1:11" ht="15" customHeight="1" x14ac:dyDescent="0.4">
      <c r="B78" s="73" t="s">
        <v>172</v>
      </c>
      <c r="C78" s="77">
        <f>MAX(Data!C12,0)</f>
        <v>357.33333333333331</v>
      </c>
      <c r="D78" s="159">
        <f>C78/$C$74</f>
        <v>3.796700836974199E-4</v>
      </c>
      <c r="E78" s="180">
        <f>E74*F78</f>
        <v>357.33333333333331</v>
      </c>
      <c r="F78" s="160">
        <f>I78</f>
        <v>3.796700836974199E-4</v>
      </c>
      <c r="H78" s="238">
        <f>Inputs!F97</f>
        <v>357.33333333333331</v>
      </c>
      <c r="I78" s="160">
        <f>H78/$H$74</f>
        <v>3.796700836974199E-4</v>
      </c>
      <c r="K78" s="24"/>
    </row>
    <row r="79" spans="1:11" ht="15" customHeight="1" x14ac:dyDescent="0.4">
      <c r="B79" s="256" t="s">
        <v>232</v>
      </c>
      <c r="C79" s="257">
        <f>C76-C77-C78</f>
        <v>145105.66666666666</v>
      </c>
      <c r="D79" s="258">
        <f>C79/C74</f>
        <v>0.15417615841875909</v>
      </c>
      <c r="E79" s="259">
        <f>E76-E77-E78</f>
        <v>145105.66666666666</v>
      </c>
      <c r="F79" s="258">
        <f>E79/E74</f>
        <v>0.15417615841875909</v>
      </c>
      <c r="G79" s="260"/>
      <c r="H79" s="259">
        <f>H76-H77-H78</f>
        <v>145105.66666666666</v>
      </c>
      <c r="I79" s="258">
        <f>H79/H74</f>
        <v>0.15417615841875909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7947</v>
      </c>
      <c r="D81" s="159">
        <f>C81/$C$74</f>
        <v>8.4437634938714454E-3</v>
      </c>
      <c r="E81" s="180">
        <f>E74*F81</f>
        <v>7947.0000000000009</v>
      </c>
      <c r="F81" s="160">
        <f>I81</f>
        <v>8.4437634938714454E-3</v>
      </c>
      <c r="H81" s="238">
        <f>Inputs!F94</f>
        <v>7947.0000000000009</v>
      </c>
      <c r="I81" s="160">
        <f>H81/$H$74</f>
        <v>8.4437634938714454E-3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137158.66666666666</v>
      </c>
      <c r="D83" s="164">
        <f>C83/$C$74</f>
        <v>0.14573239492488765</v>
      </c>
      <c r="E83" s="165">
        <f>E79-E81-E82-E80</f>
        <v>137158.66666666666</v>
      </c>
      <c r="F83" s="164">
        <f>E83/E74</f>
        <v>0.14573239492488765</v>
      </c>
      <c r="H83" s="165">
        <f>H79-H81-H82-H80</f>
        <v>137158.66666666666</v>
      </c>
      <c r="I83" s="164">
        <f>H83/$H$74</f>
        <v>0.14573239492488765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102869</v>
      </c>
      <c r="D85" s="258">
        <f>C85/$C$74</f>
        <v>0.10929929619366574</v>
      </c>
      <c r="E85" s="264">
        <f>E83*(1-F84)</f>
        <v>102869</v>
      </c>
      <c r="F85" s="258">
        <f>E85/E74</f>
        <v>0.10929929619366574</v>
      </c>
      <c r="G85" s="260"/>
      <c r="H85" s="264">
        <f>H83*(1-I84)</f>
        <v>102869</v>
      </c>
      <c r="I85" s="258">
        <f>H85/$H$74</f>
        <v>0.10929929619366574</v>
      </c>
      <c r="K85" s="24"/>
    </row>
    <row r="86" spans="1:11" ht="15" customHeight="1" x14ac:dyDescent="0.4">
      <c r="B86" s="87" t="s">
        <v>160</v>
      </c>
      <c r="C86" s="167">
        <f>C85*Data!C4/Common_Shares</f>
        <v>5.3807399911493308E-3</v>
      </c>
      <c r="D86" s="209"/>
      <c r="E86" s="168">
        <f>E85*Data!C4/Common_Shares</f>
        <v>5.3807399911493308E-3</v>
      </c>
      <c r="F86" s="209"/>
      <c r="H86" s="168">
        <f>H85*Data!C4/Common_Shares</f>
        <v>5.3807399911493308E-3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6.6224916759513634E-5</v>
      </c>
      <c r="D87" s="209"/>
      <c r="E87" s="262">
        <f>E86*Exchange_Rate/Dashboard!G3</f>
        <v>6.6224916759513634E-5</v>
      </c>
      <c r="F87" s="209"/>
      <c r="H87" s="262">
        <f>H86*Exchange_Rate/Dashboard!G3</f>
        <v>6.6224916759513634E-5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0.9</v>
      </c>
      <c r="D88" s="166">
        <f>C88/C86</f>
        <v>167.26323916048565</v>
      </c>
      <c r="E88" s="170">
        <f>Inputs!E98</f>
        <v>0.9</v>
      </c>
      <c r="F88" s="166">
        <f>E88/E86</f>
        <v>167.26323916048565</v>
      </c>
      <c r="H88" s="170">
        <f>Inputs!F98</f>
        <v>0.9</v>
      </c>
      <c r="I88" s="166">
        <f>H88/H86</f>
        <v>167.26323916048565</v>
      </c>
      <c r="K88" s="24"/>
    </row>
    <row r="89" spans="1:11" ht="15" customHeight="1" x14ac:dyDescent="0.4">
      <c r="B89" s="87" t="s">
        <v>221</v>
      </c>
      <c r="C89" s="261">
        <f>C88*Exchange_Rate/Dashboard!G3</f>
        <v>1.1076994090329785E-2</v>
      </c>
      <c r="D89" s="209"/>
      <c r="E89" s="261">
        <f>E88*Exchange_Rate/Dashboard!G3</f>
        <v>1.1076994090329785E-2</v>
      </c>
      <c r="F89" s="209"/>
      <c r="H89" s="261">
        <f>H88*Exchange_Rate/Dashboard!G3</f>
        <v>1.1076994090329785E-2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8.6945863623993799E-2</v>
      </c>
      <c r="H93" s="87" t="s">
        <v>209</v>
      </c>
      <c r="I93" s="144">
        <f>FV(H87,D93,0,-(H86/(C93-D94)))*Exchange_Rate</f>
        <v>8.6945863623993799E-2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15.361257556015865</v>
      </c>
      <c r="H94" s="87" t="s">
        <v>210</v>
      </c>
      <c r="I94" s="144">
        <f>FV(H89,D93,0,-(H88/(C93-D94)))*Exchange_Rate</f>
        <v>15.361257556015865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826422.69544192345</v>
      </c>
      <c r="D97" s="213"/>
      <c r="E97" s="123">
        <f>PV(C94,D93,0,-F93)</f>
        <v>4.3227460624267577E-2</v>
      </c>
      <c r="F97" s="213"/>
      <c r="H97" s="123">
        <f>PV(C94,D93,0,-I93)</f>
        <v>4.3227460624267577E-2</v>
      </c>
      <c r="I97" s="123">
        <f>PV(C93,D93,0,-I93)</f>
        <v>5.7491015291231615E-2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826422.69544192345</v>
      </c>
      <c r="D100" s="109">
        <f>MIN(F100*(1-C94),E100)</f>
        <v>3.6743341530627437E-2</v>
      </c>
      <c r="E100" s="109">
        <f>MAX(E97+H98+E99,0)</f>
        <v>4.3227460624267577E-2</v>
      </c>
      <c r="F100" s="109">
        <f>(E100+H100)/2</f>
        <v>4.3227460624267577E-2</v>
      </c>
      <c r="H100" s="109">
        <f>MAX(C100*Data!$C$4/Common_Shares,0)</f>
        <v>4.3227460624267577E-2</v>
      </c>
      <c r="I100" s="109">
        <f>MAX(I97+H98+H99,0)</f>
        <v>5.7491015291231615E-2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146009152.65757313</v>
      </c>
      <c r="D103" s="109">
        <f>MIN(F103*(1-C94),E103)</f>
        <v>6.4916708995097316</v>
      </c>
      <c r="E103" s="123">
        <f>PV(C94,D93,0,-F94)</f>
        <v>7.6372598817761546</v>
      </c>
      <c r="F103" s="109">
        <f>(E103+H103)/2</f>
        <v>7.6372598817761546</v>
      </c>
      <c r="H103" s="123">
        <f>PV(C94,D93,0,-I94)</f>
        <v>7.6372598817761546</v>
      </c>
      <c r="I103" s="109">
        <f>PV(C93,D93,0,-I94)</f>
        <v>10.15728933195326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73417787.676507518</v>
      </c>
      <c r="D106" s="109">
        <f>(D100+D103)/2</f>
        <v>3.2642071205201795</v>
      </c>
      <c r="E106" s="123">
        <f>(E100+E103)/2</f>
        <v>3.840243671200211</v>
      </c>
      <c r="F106" s="109">
        <f>(F100+F103)/2</f>
        <v>3.840243671200211</v>
      </c>
      <c r="H106" s="123">
        <f>(H100+H103)/2</f>
        <v>3.840243671200211</v>
      </c>
      <c r="I106" s="123">
        <f>(I100+I103)/2</f>
        <v>5.107390173622246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