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F8681F63-1504-A04B-BE5C-D9010666AA09}" xr6:coauthVersionLast="47" xr6:coauthVersionMax="47" xr10:uidLastSave="{00000000-0000-0000-0000-000000000000}"/>
  <bookViews>
    <workbookView xWindow="0" yWindow="0" windowWidth="27340" windowHeight="1710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24" i="1" l="1"/>
  <c r="C83" i="3"/>
  <c r="E83" i="3"/>
  <c r="E87" i="3"/>
  <c r="C92" i="3" l="1"/>
  <c r="B92" i="3"/>
  <c r="G21" i="1" l="1"/>
  <c r="D101" i="3" l="1"/>
  <c r="G26" i="1"/>
  <c r="D45" i="2"/>
  <c r="C82" i="3"/>
  <c r="E42" i="2"/>
  <c r="D94" i="3"/>
  <c r="D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E82" i="3" l="1"/>
  <c r="E80" i="3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F79" i="3"/>
  <c r="C22" i="1" s="1"/>
  <c r="D81" i="3"/>
  <c r="C76" i="3"/>
  <c r="C78" i="3" s="1"/>
  <c r="C85" i="3" s="1"/>
  <c r="D85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J53" i="2" l="1"/>
  <c r="J22" i="2"/>
  <c r="J46" i="2"/>
  <c r="C86" i="3"/>
  <c r="D87" i="3" s="1"/>
  <c r="F82" i="3"/>
  <c r="F80" i="3"/>
  <c r="C23" i="1" s="1"/>
  <c r="J21" i="2"/>
  <c r="I21" i="2"/>
  <c r="H21" i="2"/>
  <c r="C22" i="2"/>
  <c r="D83" i="3"/>
  <c r="E76" i="3"/>
  <c r="E78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C25" i="1" l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F29" i="1" s="1"/>
  <c r="D53" i="3"/>
  <c r="D6" i="3"/>
  <c r="D7" i="3" s="1"/>
  <c r="D52" i="3"/>
  <c r="E6" i="3" l="1"/>
  <c r="F98" i="3" l="1"/>
  <c r="D29" i="1" s="1"/>
  <c r="E98" i="3"/>
  <c r="C29" i="1" s="1"/>
</calcChain>
</file>

<file path=xl/sharedStrings.xml><?xml version="1.0" encoding="utf-8"?>
<sst xmlns="http://schemas.openxmlformats.org/spreadsheetml/2006/main" count="250" uniqueCount="228">
  <si>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</si>
  <si>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</si>
  <si>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</si>
  <si>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</si>
  <si>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</si>
  <si>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</si>
  <si>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</si>
  <si>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</si>
  <si>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</si>
  <si>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</si>
  <si>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</si>
  <si>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</si>
  <si>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</si>
  <si>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</si>
  <si>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</si>
  <si>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</si>
  <si>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</si>
  <si>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</si>
  <si>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</si>
  <si>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</si>
  <si>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</si>
  <si>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</si>
  <si>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</si>
  <si>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</si>
  <si>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</si>
  <si>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</si>
  <si>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</si>
  <si>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</si>
  <si>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</si>
  <si>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</si>
  <si>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</si>
  <si>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</si>
  <si>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</si>
  <si>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</si>
  <si>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</si>
  <si>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</si>
  <si>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</si>
  <si>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</si>
  <si>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</si>
  <si>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</si>
  <si>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</si>
  <si>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</si>
  <si>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</si>
  <si>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</si>
  <si>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</si>
  <si>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</si>
  <si>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</si>
  <si>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</si>
  <si>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</si>
  <si>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</si>
  <si>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</si>
  <si>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</si>
  <si>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</si>
  <si>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</si>
  <si>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</si>
  <si>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</si>
  <si>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</si>
  <si>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</si>
  <si>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</si>
  <si>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</si>
  <si>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</si>
  <si>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</si>
  <si>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</si>
  <si>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</si>
  <si>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</si>
  <si>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</si>
  <si>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</si>
  <si>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</si>
  <si>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</si>
  <si>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</si>
  <si>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</si>
  <si>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</si>
  <si>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</si>
  <si>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</si>
  <si>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</si>
  <si>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</si>
  <si>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</si>
  <si>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</si>
  <si>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</si>
  <si>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</si>
  <si>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</si>
  <si>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</si>
  <si>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</si>
  <si>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</si>
  <si>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</si>
  <si>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</si>
  <si>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</si>
  <si>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</si>
  <si>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</si>
  <si>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</si>
  <si>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</si>
  <si>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</si>
  <si>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</si>
  <si>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</si>
  <si>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</si>
  <si>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</si>
  <si>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</si>
  <si>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</si>
  <si>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</si>
  <si>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</si>
  <si>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</si>
  <si>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</si>
  <si>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</si>
  <si>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</si>
  <si>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</si>
  <si>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</si>
  <si>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</si>
  <si>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</si>
  <si>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</si>
  <si>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</si>
  <si>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</si>
  <si>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</si>
  <si>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</si>
  <si>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</si>
  <si>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</si>
  <si>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</si>
  <si>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</si>
  <si>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</si>
  <si>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</si>
  <si>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</si>
  <si>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</si>
  <si>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</si>
  <si>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</si>
  <si>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</si>
  <si>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</si>
  <si>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</si>
  <si>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</si>
  <si>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</si>
  <si>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</si>
  <si>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</si>
  <si>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</si>
  <si>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</si>
  <si>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</si>
  <si>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</si>
  <si>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</si>
  <si>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</si>
  <si>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</si>
  <si>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</si>
  <si>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</si>
  <si>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</si>
  <si>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</si>
  <si>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</si>
  <si>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</si>
  <si>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</si>
  <si>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</si>
  <si>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</si>
  <si>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</si>
  <si>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</si>
  <si>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</si>
  <si>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</si>
  <si>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</si>
  <si>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</si>
  <si>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</si>
  <si>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</si>
  <si>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</si>
  <si>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</si>
  <si>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</si>
  <si>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</si>
  <si>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</si>
  <si>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</si>
  <si>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</si>
  <si>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</si>
  <si>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</si>
  <si>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</si>
  <si>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</si>
  <si>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</si>
  <si>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</si>
  <si>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</si>
  <si>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</si>
  <si>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</si>
  <si>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</si>
  <si>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</si>
  <si>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</si>
  <si>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</si>
  <si>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</si>
  <si>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</si>
  <si>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</si>
  <si>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</si>
  <si>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</si>
  <si>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</si>
  <si>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</si>
  <si>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</si>
  <si>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</si>
  <si>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</si>
  <si>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</si>
  <si>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</si>
  <si>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</si>
  <si>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</si>
  <si>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</si>
  <si>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</si>
  <si>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</si>
  <si>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</si>
  <si>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</si>
  <si>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</si>
  <si>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</si>
  <si>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</si>
  <si>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</si>
  <si>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</si>
  <si>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</si>
  <si>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</si>
  <si>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</si>
  <si>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</si>
  <si>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</si>
  <si>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</si>
  <si>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</si>
  <si>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</si>
  <si>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</si>
  <si>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</si>
  <si>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</si>
  <si>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</si>
  <si>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</si>
  <si>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</si>
  <si>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</si>
  <si>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</si>
  <si>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</si>
  <si>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</si>
  <si>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</si>
  <si>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</si>
  <si>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</si>
  <si>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</si>
  <si>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</si>
  <si>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</si>
  <si>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</si>
  <si>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</si>
  <si>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NISSIN FOODS</t>
    <phoneticPr fontId="20" type="noConversion"/>
  </si>
  <si>
    <t>1475.HK</t>
    <phoneticPr fontId="20" type="noConversion"/>
  </si>
  <si>
    <t>C0002</t>
    <phoneticPr fontId="20" type="noConversion"/>
  </si>
  <si>
    <t>Valued @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</si>
</sst>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yyyy\-mm\-dd"/>
    <numFmt numFmtId="165" formatCode="#,##0&quot;mm&quot;"/>
    <numFmt numFmtId="166" formatCode="#,##0.00&quot;x&quot;"/>
    <numFmt numFmtId="167" formatCode="0.00\x"/>
    <numFmt numFmtId="168" formatCode="yyyy\-mm\-dd;@"/>
    <numFmt numFmtId="169" formatCode="_(* #,##0_);_(* \(#,##0\);_(* &quot;-&quot;??_);_(@_)"/>
    <numFmt numFmtId="170" formatCode="&quot;in&quot;\ 0\ &quot;Months&quot;"/>
    <numFmt numFmtId="171" formatCode="#,##0.00_ "/>
    <numFmt numFmtId="172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69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8" fontId="15" fillId="4" borderId="2" xfId="0" applyNumberFormat="1" applyFont="1" applyFill="1" applyBorder="1" applyAlignment="1">
      <alignment horizontal="center"/>
    </xf>
    <xf numFmtId="168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8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7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8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8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1" fontId="4" fillId="0" borderId="3" xfId="0" applyNumberFormat="1" applyFont="1" applyBorder="1" applyAlignment="1">
      <alignment horizontal="center"/>
    </xf>
    <xf numFmtId="171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2" fontId="6" fillId="0" borderId="3" xfId="0" applyNumberFormat="1" applyFont="1" applyBorder="1" applyAlignment="1">
      <alignment horizontal="center"/>
    </xf>
    <xf numFmtId="172" fontId="2" fillId="0" borderId="12" xfId="0" applyNumberFormat="1" applyFont="1" applyBorder="1" applyAlignment="1">
      <alignment horizontal="center"/>
    </xf>
    <xf numFmtId="172" fontId="1" fillId="0" borderId="11" xfId="0" applyNumberFormat="1" applyFont="1" applyBorder="1" applyAlignment="1">
      <alignment horizontal="center"/>
    </xf>
    <xf numFmtId="172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6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0" fontId="2" fillId="8" borderId="3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64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68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8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="125" zoomScaleNormal="100" workbookViewId="0">
      <selection activeCell="C23" sqref="C23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1475.HK : NISSIN FOODS</v>
      </c>
      <c r="D2" s="94"/>
      <c r="E2" s="7"/>
      <c r="F2" s="7"/>
      <c r="G2" s="93"/>
      <c r="H2" s="93"/>
    </row>
    <row r="3" spans="1:10" ht="15.75" customHeight="1" x14ac:dyDescent="0.15">
      <c r="B3" s="3" t="s">
        <v>222</v>
      </c>
      <c r="C3" s="199" t="s">
        <v>225</v>
      </c>
      <c r="D3" s="200"/>
      <c r="E3" s="94"/>
      <c r="F3" s="3" t="s">
        <v>1</v>
      </c>
      <c r="G3" s="171">
        <v>4.25</v>
      </c>
      <c r="H3" s="173" t="s">
        <v>2</v>
      </c>
    </row>
    <row r="4" spans="1:10" ht="15.75" customHeight="1" x14ac:dyDescent="0.15">
      <c r="B4" s="35" t="s">
        <v>223</v>
      </c>
      <c r="C4" s="201" t="s">
        <v>224</v>
      </c>
      <c r="D4" s="202"/>
      <c r="E4" s="94"/>
      <c r="F4" s="3" t="s">
        <v>3</v>
      </c>
      <c r="G4" s="205">
        <v>1043691480</v>
      </c>
      <c r="H4" s="205"/>
      <c r="I4" s="39"/>
    </row>
    <row r="5" spans="1:10" ht="15.75" customHeight="1" x14ac:dyDescent="0.15">
      <c r="B5" s="3" t="s">
        <v>180</v>
      </c>
      <c r="C5" s="203">
        <v>45591</v>
      </c>
      <c r="D5" s="204"/>
      <c r="E5" s="34"/>
      <c r="F5" s="35" t="s">
        <v>102</v>
      </c>
      <c r="G5" s="197">
        <f>G3*G4/1000000</f>
        <v>4435.6887900000002</v>
      </c>
      <c r="H5" s="197"/>
      <c r="I5" s="38"/>
      <c r="J5" s="28"/>
    </row>
    <row r="6" spans="1:10" ht="15.75" customHeight="1" x14ac:dyDescent="0.15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8" t="s">
        <v>2</v>
      </c>
      <c r="H6" s="198"/>
      <c r="I6" s="38"/>
    </row>
    <row r="7" spans="1:10" ht="15.75" customHeight="1" x14ac:dyDescent="0.15">
      <c r="B7" s="93" t="s">
        <v>220</v>
      </c>
      <c r="C7" s="190" t="s">
        <v>46</v>
      </c>
      <c r="D7" s="196" t="s">
        <v>226</v>
      </c>
      <c r="E7" s="94"/>
      <c r="F7" s="35" t="s">
        <v>6</v>
      </c>
      <c r="G7" s="172">
        <v>1</v>
      </c>
      <c r="H7" s="77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80" t="s">
        <v>218</v>
      </c>
      <c r="F9" s="186" t="s">
        <v>211</v>
      </c>
    </row>
    <row r="10" spans="1:10" ht="15.75" customHeight="1" x14ac:dyDescent="0.15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2">
      <c r="B11" s="147" t="s">
        <v>203</v>
      </c>
      <c r="C11" s="184">
        <v>5.2900000000000003E-2</v>
      </c>
      <c r="D11" s="177" t="s">
        <v>216</v>
      </c>
      <c r="F11" s="125" t="s">
        <v>201</v>
      </c>
    </row>
    <row r="12" spans="1:10" ht="15.75" customHeight="1" thickTop="1" x14ac:dyDescent="0.15">
      <c r="B12" s="94" t="s">
        <v>142</v>
      </c>
      <c r="C12" s="193">
        <v>0.08</v>
      </c>
      <c r="D12" s="170">
        <v>9.6250000000000002E-2</v>
      </c>
      <c r="F12" s="125"/>
    </row>
    <row r="13" spans="1:10" ht="15.75" customHeight="1" x14ac:dyDescent="0.15"/>
    <row r="14" spans="1:10" ht="15.75" customHeight="1" x14ac:dyDescent="0.15">
      <c r="B14" s="1" t="s">
        <v>200</v>
      </c>
      <c r="C14" s="170">
        <v>2.0799999999999999E-2</v>
      </c>
      <c r="F14" s="125" t="s">
        <v>206</v>
      </c>
    </row>
    <row r="15" spans="1:10" ht="15.75" customHeight="1" x14ac:dyDescent="0.15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2">
      <c r="B16" s="147" t="s">
        <v>213</v>
      </c>
      <c r="C16" s="184">
        <v>0.16</v>
      </c>
      <c r="D16" s="195" t="s">
        <v>217</v>
      </c>
      <c r="F16" s="125" t="s">
        <v>202</v>
      </c>
    </row>
    <row r="17" spans="1:8" ht="15.75" customHeight="1" thickTop="1" x14ac:dyDescent="0.15">
      <c r="B17" s="94" t="s">
        <v>205</v>
      </c>
      <c r="C17" s="194">
        <v>0.1125</v>
      </c>
      <c r="D17" s="189"/>
    </row>
    <row r="18" spans="1:8" ht="15.75" customHeight="1" x14ac:dyDescent="0.15"/>
    <row r="19" spans="1:8" ht="15.75" customHeight="1" x14ac:dyDescent="0.15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15">
      <c r="B20" s="177" t="s">
        <v>187</v>
      </c>
      <c r="C20" s="178">
        <f>Fin_Analysis!F75</f>
        <v>0.66005868735054896</v>
      </c>
      <c r="F20" s="181" t="s">
        <v>195</v>
      </c>
      <c r="G20" s="178">
        <f>Fin_Analysis!F91</f>
        <v>0.12559069415323262</v>
      </c>
    </row>
    <row r="21" spans="1:8" ht="15.75" customHeight="1" x14ac:dyDescent="0.15">
      <c r="B21" s="177" t="s">
        <v>188</v>
      </c>
      <c r="C21" s="178">
        <f>Fin_Analysis!F77</f>
        <v>0.20403193785652382</v>
      </c>
      <c r="F21" s="181" t="s">
        <v>194</v>
      </c>
      <c r="G21" s="178">
        <f>Fin_Analysis!F92</f>
        <v>0.02</v>
      </c>
    </row>
    <row r="22" spans="1:8" ht="15.75" customHeight="1" x14ac:dyDescent="0.15">
      <c r="B22" s="177" t="s">
        <v>189</v>
      </c>
      <c r="C22" s="178">
        <f>Fin_Analysis!F79</f>
        <v>7.0437342852983705E-5</v>
      </c>
      <c r="F22" s="185" t="s">
        <v>210</v>
      </c>
    </row>
    <row r="23" spans="1:8" ht="15.75" customHeight="1" x14ac:dyDescent="0.15">
      <c r="B23" s="177" t="s">
        <v>190</v>
      </c>
      <c r="C23" s="178">
        <f>Fin_Analysis!F80</f>
        <v>0.04</v>
      </c>
      <c r="F23" s="181" t="s">
        <v>214</v>
      </c>
      <c r="G23" s="188">
        <f>G3/(Data!C34*Data!E3/Common_Shares*Exchange_Rate)</f>
        <v>1.2099123733948989</v>
      </c>
    </row>
    <row r="24" spans="1:8" ht="15.75" customHeight="1" x14ac:dyDescent="0.15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6.4061323414891791E-2</v>
      </c>
    </row>
    <row r="25" spans="1:8" ht="15.75" customHeight="1" x14ac:dyDescent="0.15">
      <c r="B25" s="177" t="s">
        <v>219</v>
      </c>
      <c r="C25" s="178">
        <f>Fin_Analysis!F82</f>
        <v>8.0000000000000004E-4</v>
      </c>
      <c r="F25" s="181" t="s">
        <v>197</v>
      </c>
      <c r="G25" s="178">
        <f>Fin_Analysis!F87</f>
        <v>0.58106088709231496</v>
      </c>
    </row>
    <row r="26" spans="1:8" ht="15.75" customHeight="1" x14ac:dyDescent="0.15">
      <c r="B26" s="179" t="s">
        <v>193</v>
      </c>
      <c r="C26" s="178">
        <f>Fin_Analysis!F83</f>
        <v>9.5038937450074273E-2</v>
      </c>
      <c r="F26" s="183" t="s">
        <v>221</v>
      </c>
      <c r="G26" s="182">
        <f>Fin_Analysis!E87*Exchange_Rate/G3</f>
        <v>3.7223529411764711E-2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15">
      <c r="B29" s="94" t="s">
        <v>186</v>
      </c>
      <c r="C29" s="168">
        <f>IF(Fin_Analysis!C103="Profit",Fin_Analysis!E98,Fin_Analysis!E101)</f>
        <v>3.6241684504187823</v>
      </c>
      <c r="D29" s="167">
        <f>IF(Fin_Analysis!C103="Profit",Fin_Analysis!F98,Fin_Analysis!F101)</f>
        <v>6.0402807506979705</v>
      </c>
      <c r="E29" s="94"/>
      <c r="F29" s="169">
        <f>IF(Fin_Analysis!C103="Profit",Fin_Analysis!D98,Fin_Analysis!D101)</f>
        <v>4.8322246005583764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30" zoomScale="137" zoomScaleNormal="70" workbookViewId="0">
      <pane xSplit="2" topLeftCell="D1" activePane="topRight" state="frozen"/>
      <selection activeCell="A4" sqref="A4"/>
      <selection pane="topRight" activeCell="D34" sqref="D34:H36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3833194</v>
      </c>
      <c r="D6" s="58">
        <v>4067732</v>
      </c>
      <c r="E6" s="58">
        <v>3866335</v>
      </c>
      <c r="F6" s="58">
        <v>3518847</v>
      </c>
      <c r="G6" s="58">
        <v>3087781</v>
      </c>
      <c r="H6" s="58">
        <v>2998828</v>
      </c>
      <c r="I6" s="58">
        <v>2902271</v>
      </c>
      <c r="J6" s="58">
        <v>2629905</v>
      </c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-5.7658174137332541E-2</v>
      </c>
      <c r="D7" s="103">
        <f t="shared" si="1"/>
        <v>5.2089899090482339E-2</v>
      </c>
      <c r="E7" s="103">
        <f t="shared" si="1"/>
        <v>9.8750528227001588E-2</v>
      </c>
      <c r="F7" s="103">
        <f t="shared" si="1"/>
        <v>0.13960381257608612</v>
      </c>
      <c r="G7" s="103">
        <f t="shared" si="1"/>
        <v>2.9662588184450778E-2</v>
      </c>
      <c r="H7" s="103">
        <f t="shared" si="1"/>
        <v>3.3269463809547872E-2</v>
      </c>
      <c r="I7" s="103">
        <f t="shared" si="1"/>
        <v>0.10356495766957363</v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2530133</v>
      </c>
      <c r="D8" s="92">
        <v>2764937</v>
      </c>
      <c r="E8" s="92">
        <v>2639016</v>
      </c>
      <c r="F8" s="92">
        <v>2360170</v>
      </c>
      <c r="G8" s="92">
        <v>2074351</v>
      </c>
      <c r="H8" s="92">
        <v>2065429</v>
      </c>
      <c r="I8" s="92">
        <v>1867706</v>
      </c>
      <c r="J8" s="92">
        <v>1588722</v>
      </c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1303061</v>
      </c>
      <c r="D9" s="101">
        <f t="shared" si="2"/>
        <v>1302795</v>
      </c>
      <c r="E9" s="101">
        <f t="shared" si="2"/>
        <v>1227319</v>
      </c>
      <c r="F9" s="101">
        <f t="shared" si="2"/>
        <v>1158677</v>
      </c>
      <c r="G9" s="101">
        <f t="shared" si="2"/>
        <v>1013430</v>
      </c>
      <c r="H9" s="101">
        <f t="shared" si="2"/>
        <v>933399</v>
      </c>
      <c r="I9" s="101">
        <f t="shared" si="2"/>
        <v>1034565</v>
      </c>
      <c r="J9" s="101">
        <f t="shared" si="2"/>
        <v>1041183</v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v>829721</v>
      </c>
      <c r="D10" s="92">
        <v>842779</v>
      </c>
      <c r="E10" s="92">
        <v>769862</v>
      </c>
      <c r="F10" s="92">
        <v>714686</v>
      </c>
      <c r="G10" s="92">
        <v>676867</v>
      </c>
      <c r="H10" s="92">
        <v>648594</v>
      </c>
      <c r="I10" s="92">
        <v>767003</v>
      </c>
      <c r="J10" s="92">
        <v>750812</v>
      </c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1.2424886400218721E-2</v>
      </c>
      <c r="D11" s="97">
        <f t="shared" si="3"/>
        <v>1.1287125110503839E-2</v>
      </c>
      <c r="E11" s="97">
        <f t="shared" si="3"/>
        <v>1.3080346115895286E-2</v>
      </c>
      <c r="F11" s="97">
        <f t="shared" si="3"/>
        <v>1.0390619427329464E-2</v>
      </c>
      <c r="G11" s="97">
        <f t="shared" si="3"/>
        <v>7.5050659356994554E-3</v>
      </c>
      <c r="H11" s="97">
        <f t="shared" si="3"/>
        <v>5.8856326538234268E-3</v>
      </c>
      <c r="I11" s="97">
        <f t="shared" si="3"/>
        <v>6.9300902637968679E-3</v>
      </c>
      <c r="J11" s="97">
        <f t="shared" si="3"/>
        <v>8.2200687857546181E-3</v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>
        <v>47627</v>
      </c>
      <c r="D12" s="92">
        <v>45913</v>
      </c>
      <c r="E12" s="92">
        <v>50573</v>
      </c>
      <c r="F12" s="92">
        <v>36563</v>
      </c>
      <c r="G12" s="92">
        <v>23174</v>
      </c>
      <c r="H12" s="92">
        <v>17650</v>
      </c>
      <c r="I12" s="92">
        <v>20113</v>
      </c>
      <c r="J12" s="92">
        <v>21618</v>
      </c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520967</v>
      </c>
      <c r="D13" s="101">
        <f t="shared" ref="D13:M13" si="4">IF(D6="","",(D9-D10+D12))</f>
        <v>505929</v>
      </c>
      <c r="E13" s="101">
        <f t="shared" si="4"/>
        <v>508030</v>
      </c>
      <c r="F13" s="101">
        <f t="shared" si="4"/>
        <v>480554</v>
      </c>
      <c r="G13" s="101">
        <f t="shared" si="4"/>
        <v>359737</v>
      </c>
      <c r="H13" s="101">
        <f t="shared" si="4"/>
        <v>302455</v>
      </c>
      <c r="I13" s="101">
        <f t="shared" si="4"/>
        <v>287675</v>
      </c>
      <c r="J13" s="101">
        <f t="shared" si="4"/>
        <v>311989</v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>
        <v>329600</v>
      </c>
      <c r="D15" s="92">
        <v>634000</v>
      </c>
      <c r="E15" s="92">
        <v>315900</v>
      </c>
      <c r="F15" s="92">
        <v>259700</v>
      </c>
      <c r="G15" s="92">
        <v>283600</v>
      </c>
      <c r="H15" s="92">
        <v>215300</v>
      </c>
      <c r="I15" s="92">
        <v>259700</v>
      </c>
      <c r="J15" s="92">
        <v>467600</v>
      </c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>
        <v>-212109</v>
      </c>
      <c r="D16" s="92">
        <v>-63909</v>
      </c>
      <c r="E16" s="92">
        <v>-85212</v>
      </c>
      <c r="F16" s="92">
        <v>-137953</v>
      </c>
      <c r="G16" s="92">
        <v>-184857</v>
      </c>
      <c r="H16" s="92">
        <v>-59025</v>
      </c>
      <c r="I16" s="92">
        <v>-13114</v>
      </c>
      <c r="J16" s="92">
        <v>-55207</v>
      </c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270</v>
      </c>
      <c r="D17" s="92">
        <v>259</v>
      </c>
      <c r="E17" s="92">
        <v>365</v>
      </c>
      <c r="F17" s="92">
        <v>116</v>
      </c>
      <c r="G17" s="92">
        <v>64</v>
      </c>
      <c r="H17" s="92">
        <v>0</v>
      </c>
      <c r="I17" s="92">
        <v>0</v>
      </c>
      <c r="J17" s="92">
        <v>0</v>
      </c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2980</v>
      </c>
      <c r="D18" s="92">
        <v>30135</v>
      </c>
      <c r="E18" s="92">
        <v>35414</v>
      </c>
      <c r="F18" s="92">
        <v>30652</v>
      </c>
      <c r="G18" s="92">
        <v>27954</v>
      </c>
      <c r="H18" s="92">
        <v>25134</v>
      </c>
      <c r="I18" s="92">
        <v>25097</v>
      </c>
      <c r="J18" s="92">
        <v>16390</v>
      </c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187276.48717948719</v>
      </c>
      <c r="D19" s="95">
        <f>IF(D6="","",D13-D14-MAX(D15,0)-MAX(D16,0)-D17-MAX(D18/(1-Fin_Analysis!$F$84),0))</f>
        <v>-166964.61538461538</v>
      </c>
      <c r="E19" s="95">
        <f>IF(E6="","",E13-E14-MAX(E15,0)-MAX(E16,0)-E17-MAX(E18/(1-Fin_Analysis!$F$84),0))</f>
        <v>146362.43589743591</v>
      </c>
      <c r="F19" s="95">
        <f>IF(F6="","",F13-F14-MAX(F15,0)-MAX(F16,0)-F17-MAX(F18/(1-Fin_Analysis!$F$84),0))</f>
        <v>181440.56410256409</v>
      </c>
      <c r="G19" s="95">
        <f>IF(G6="","",G13-G14-MAX(G15,0)-MAX(G16,0)-G17-MAX(G18/(1-Fin_Analysis!$F$84),0))</f>
        <v>40234.538461538461</v>
      </c>
      <c r="H19" s="95">
        <f>IF(H6="","",H13-H14-MAX(H15,0)-MAX(H16,0)-H17-MAX(H18/(1-Fin_Analysis!$F$84),0))</f>
        <v>54931.923076923078</v>
      </c>
      <c r="I19" s="95">
        <f>IF(I6="","",I13-I14-MAX(I15,0)-MAX(I16,0)-I17-MAX(I18/(1-Fin_Analysis!$F$84),0))</f>
        <v>-4200.6410256410236</v>
      </c>
      <c r="J19" s="95">
        <f>IF(J6="","",J13-J14-MAX(J15,0)-MAX(J16,0)-J17-MAX(J18/(1-Fin_Analysis!$F$84),0))</f>
        <v>-176623.8205128205</v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 t="str">
        <f>IF(D19="","",IF(ABS(C19+D19)=ABS(C19)+ABS(D19),IF(C19&lt;0,-1,1)*(C19-D19)/D19,"Turn"))</f>
        <v>Turn</v>
      </c>
      <c r="D20" s="57" t="str">
        <f t="shared" ref="D20:M20" si="5">IF(E19="","",IF(ABS(D19+E19)=ABS(D19)+ABS(E19),IF(D19&lt;0,-1,1)*(D19-E19)/E19,"Turn"))</f>
        <v>Turn</v>
      </c>
      <c r="E20" s="57">
        <f t="shared" si="5"/>
        <v>-0.19333123427294541</v>
      </c>
      <c r="F20" s="57">
        <f t="shared" si="5"/>
        <v>3.5095723982520437</v>
      </c>
      <c r="G20" s="57">
        <f t="shared" si="5"/>
        <v>-0.26755634596668604</v>
      </c>
      <c r="H20" s="57" t="str">
        <f t="shared" si="5"/>
        <v>Turn</v>
      </c>
      <c r="I20" s="57">
        <f t="shared" si="5"/>
        <v>0.97621701867027544</v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3.8108079058873617E-2</v>
      </c>
      <c r="D21" s="56">
        <f t="shared" si="6"/>
        <v>-3.2015973520379416E-2</v>
      </c>
      <c r="E21" s="56">
        <f t="shared" si="6"/>
        <v>2.9527368942422218E-2</v>
      </c>
      <c r="F21" s="56">
        <f t="shared" si="6"/>
        <v>4.0218753472373192E-2</v>
      </c>
      <c r="G21" s="56">
        <f t="shared" si="6"/>
        <v>1.0163589969625438E-2</v>
      </c>
      <c r="H21" s="56">
        <f t="shared" si="6"/>
        <v>1.4287881799156204E-2</v>
      </c>
      <c r="I21" s="56">
        <f t="shared" si="6"/>
        <v>-1.1289435066539268E-3</v>
      </c>
      <c r="J21" s="56">
        <f t="shared" si="6"/>
        <v>-5.2384622258218445E-2</v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146075.66</v>
      </c>
      <c r="D22" s="95">
        <f>IF(D6="","",D19*(1-Fin_Analysis!$F$84))</f>
        <v>-130232.4</v>
      </c>
      <c r="E22" s="95">
        <f>IF(E6="","",E19*(1-Fin_Analysis!$F$84))</f>
        <v>114162.70000000001</v>
      </c>
      <c r="F22" s="95">
        <f>IF(F6="","",F19*(1-Fin_Analysis!$F$84))</f>
        <v>141523.63999999998</v>
      </c>
      <c r="G22" s="95">
        <f>IF(G6="","",G19*(1-Fin_Analysis!$F$84))</f>
        <v>31382.940000000002</v>
      </c>
      <c r="H22" s="95">
        <f>IF(H6="","",H19*(1-Fin_Analysis!$F$84))</f>
        <v>42846.9</v>
      </c>
      <c r="I22" s="95">
        <f>IF(I6="","",I19*(1-Fin_Analysis!$F$84))</f>
        <v>-3276.4999999999986</v>
      </c>
      <c r="J22" s="95">
        <f>IF(J6="","",J19*(1-Fin_Analysis!$F$84))</f>
        <v>-137766.57999999999</v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 t="str">
        <f>IF(D22="","",IF(ABS(C22+D22)=ABS(C22)+ABS(D22),IF(C22&lt;0,-1,1)*(C22-D22)/D22,"Turn"))</f>
        <v>Turn</v>
      </c>
      <c r="D23" s="80" t="str">
        <f t="shared" ref="D23:M23" si="7">IF(E22="","",IF(ABS(D22+E22)=ABS(D22)+ABS(E22),IF(D22&lt;0,-1,1)*(D22-E22)/E22,"Turn"))</f>
        <v>Turn</v>
      </c>
      <c r="E23" s="80">
        <f t="shared" si="7"/>
        <v>-0.19333123427294532</v>
      </c>
      <c r="F23" s="80">
        <f t="shared" si="7"/>
        <v>3.5095723982520433</v>
      </c>
      <c r="G23" s="80">
        <f t="shared" si="7"/>
        <v>-0.26755634596668598</v>
      </c>
      <c r="H23" s="80" t="str">
        <f t="shared" si="7"/>
        <v>Turn</v>
      </c>
      <c r="I23" s="80">
        <f t="shared" si="7"/>
        <v>0.97621701867027544</v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4569346</v>
      </c>
      <c r="D25" s="41">
        <f t="shared" si="17"/>
        <v>4683733</v>
      </c>
      <c r="E25" s="41">
        <f t="shared" si="17"/>
        <v>5259569</v>
      </c>
      <c r="F25" s="41">
        <f t="shared" si="17"/>
        <v>5183875</v>
      </c>
      <c r="G25" s="41">
        <f t="shared" si="17"/>
        <v>4633930</v>
      </c>
      <c r="H25" s="41">
        <f t="shared" si="17"/>
        <v>4444372</v>
      </c>
      <c r="I25" s="41">
        <f t="shared" si="17"/>
        <v>0</v>
      </c>
      <c r="J25" s="41">
        <f t="shared" si="17"/>
        <v>0</v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2422539</v>
      </c>
      <c r="D26" s="92">
        <v>2504156</v>
      </c>
      <c r="E26" s="92">
        <v>3108899</v>
      </c>
      <c r="F26" s="92">
        <v>3296593</v>
      </c>
      <c r="G26" s="92">
        <v>2995218</v>
      </c>
      <c r="H26" s="92">
        <v>2922746</v>
      </c>
      <c r="I26" s="92">
        <v>2928529</v>
      </c>
      <c r="J26" s="92">
        <v>2035257</v>
      </c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422018</v>
      </c>
      <c r="D27" s="92">
        <v>372854</v>
      </c>
      <c r="E27" s="92">
        <v>475382</v>
      </c>
      <c r="F27" s="92">
        <v>508545</v>
      </c>
      <c r="G27" s="92">
        <v>421056</v>
      </c>
      <c r="H27" s="92">
        <v>449932</v>
      </c>
      <c r="I27" s="92">
        <v>420626</v>
      </c>
      <c r="J27" s="92">
        <v>296371</v>
      </c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370793</v>
      </c>
      <c r="D28" s="92">
        <v>415015</v>
      </c>
      <c r="E28" s="92">
        <v>464999</v>
      </c>
      <c r="F28" s="92">
        <v>363144</v>
      </c>
      <c r="G28" s="92">
        <v>326593</v>
      </c>
      <c r="H28" s="92">
        <v>294086</v>
      </c>
      <c r="I28" s="92">
        <v>290728</v>
      </c>
      <c r="J28" s="92">
        <v>215131</v>
      </c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803015</v>
      </c>
      <c r="D29" s="92">
        <v>896185</v>
      </c>
      <c r="E29" s="92">
        <v>1060434</v>
      </c>
      <c r="F29" s="92">
        <v>1065331</v>
      </c>
      <c r="G29" s="92">
        <v>859227</v>
      </c>
      <c r="H29" s="92">
        <v>796096</v>
      </c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100207</v>
      </c>
      <c r="D30" s="92">
        <v>112845</v>
      </c>
      <c r="E30" s="92">
        <v>82874</v>
      </c>
      <c r="F30" s="92">
        <v>75361</v>
      </c>
      <c r="G30" s="92">
        <v>62385</v>
      </c>
      <c r="H30" s="92">
        <v>53103</v>
      </c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5523</v>
      </c>
      <c r="D31" s="92">
        <v>8558</v>
      </c>
      <c r="E31" s="92">
        <v>5576</v>
      </c>
      <c r="F31" s="92">
        <v>7278</v>
      </c>
      <c r="G31" s="92">
        <v>1660</v>
      </c>
      <c r="H31" s="92">
        <v>0</v>
      </c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2115</v>
      </c>
      <c r="D32" s="92">
        <v>1113</v>
      </c>
      <c r="E32" s="92">
        <v>5636</v>
      </c>
      <c r="F32" s="92">
        <v>9396</v>
      </c>
      <c r="G32" s="92">
        <v>131</v>
      </c>
      <c r="H32" s="92">
        <v>0</v>
      </c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7638</v>
      </c>
      <c r="D33" s="95">
        <f t="shared" si="18"/>
        <v>9671</v>
      </c>
      <c r="E33" s="95">
        <f t="shared" si="18"/>
        <v>11212</v>
      </c>
      <c r="F33" s="95">
        <f t="shared" si="18"/>
        <v>16674</v>
      </c>
      <c r="G33" s="95">
        <f t="shared" si="18"/>
        <v>1791</v>
      </c>
      <c r="H33" s="95">
        <f t="shared" si="18"/>
        <v>0</v>
      </c>
      <c r="I33" s="95">
        <f t="shared" si="18"/>
        <v>0</v>
      </c>
      <c r="J33" s="95">
        <f t="shared" si="18"/>
        <v>0</v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3666124</v>
      </c>
      <c r="D34" s="92">
        <v>3674703</v>
      </c>
      <c r="E34" s="92">
        <v>4116261</v>
      </c>
      <c r="F34" s="92">
        <v>4043183</v>
      </c>
      <c r="G34" s="92">
        <v>3712318</v>
      </c>
      <c r="H34" s="92">
        <v>3595173</v>
      </c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45613</v>
      </c>
      <c r="D35" s="92">
        <v>43262</v>
      </c>
      <c r="E35" s="92">
        <v>165622</v>
      </c>
      <c r="F35" s="92">
        <v>143504</v>
      </c>
      <c r="G35" s="92">
        <v>122753</v>
      </c>
      <c r="H35" s="92">
        <v>114637</v>
      </c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1668632</v>
      </c>
      <c r="D36" s="92">
        <v>1696980</v>
      </c>
      <c r="E36" s="92">
        <v>2130407</v>
      </c>
      <c r="F36" s="92">
        <v>2344902</v>
      </c>
      <c r="G36" s="92">
        <v>2164713</v>
      </c>
      <c r="H36" s="92">
        <v>2079261</v>
      </c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2900714</v>
      </c>
      <c r="D37" s="41">
        <f t="shared" ref="D37:M37" si="19">IF(D6="","",D25-D36)</f>
        <v>2986753</v>
      </c>
      <c r="E37" s="41">
        <f t="shared" si="19"/>
        <v>3129162</v>
      </c>
      <c r="F37" s="41">
        <f t="shared" si="19"/>
        <v>2838973</v>
      </c>
      <c r="G37" s="41">
        <f t="shared" si="19"/>
        <v>2469217</v>
      </c>
      <c r="H37" s="41">
        <f t="shared" si="19"/>
        <v>2365111</v>
      </c>
      <c r="I37" s="41">
        <f t="shared" si="19"/>
        <v>0</v>
      </c>
      <c r="J37" s="41">
        <f t="shared" si="19"/>
        <v>0</v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173</v>
      </c>
      <c r="C38" s="104">
        <f>IF(C6="","",C19/C37)</f>
        <v>6.4562203367683674E-2</v>
      </c>
      <c r="D38" s="104">
        <f t="shared" ref="D38:M38" si="20">IF(D6="","",D19/D37)</f>
        <v>-5.5901715135002923E-2</v>
      </c>
      <c r="E38" s="104">
        <f t="shared" si="20"/>
        <v>4.6773684423317141E-2</v>
      </c>
      <c r="F38" s="104">
        <f t="shared" si="20"/>
        <v>6.3910633916759371E-2</v>
      </c>
      <c r="G38" s="104">
        <f t="shared" si="20"/>
        <v>1.6294452233861365E-2</v>
      </c>
      <c r="H38" s="104">
        <f t="shared" si="20"/>
        <v>2.3225938688257369E-2</v>
      </c>
      <c r="I38" s="104" t="e">
        <f t="shared" si="20"/>
        <v>#DIV/0!</v>
      </c>
      <c r="J38" s="104" t="e">
        <f t="shared" si="20"/>
        <v>#DIV/0!</v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0.66005868735054896</v>
      </c>
      <c r="D40" s="61">
        <f t="shared" si="21"/>
        <v>0.67972447545708514</v>
      </c>
      <c r="E40" s="61">
        <f t="shared" si="21"/>
        <v>0.68256268533378506</v>
      </c>
      <c r="F40" s="61">
        <f t="shared" si="21"/>
        <v>0.67072254065038917</v>
      </c>
      <c r="G40" s="61">
        <f t="shared" si="21"/>
        <v>0.67179343353689913</v>
      </c>
      <c r="H40" s="61">
        <f t="shared" si="21"/>
        <v>0.68874540320418509</v>
      </c>
      <c r="I40" s="61">
        <f t="shared" si="21"/>
        <v>0.64353259912668392</v>
      </c>
      <c r="J40" s="61">
        <f t="shared" si="21"/>
        <v>0.60409862713672169</v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0.20403193785652382</v>
      </c>
      <c r="D41" s="56">
        <f t="shared" si="22"/>
        <v>0.19589933653446195</v>
      </c>
      <c r="E41" s="56">
        <f t="shared" si="22"/>
        <v>0.18603897489482935</v>
      </c>
      <c r="F41" s="56">
        <f t="shared" si="22"/>
        <v>0.19271170357790493</v>
      </c>
      <c r="G41" s="56">
        <f t="shared" si="22"/>
        <v>0.21170316159079935</v>
      </c>
      <c r="H41" s="56">
        <f t="shared" si="22"/>
        <v>0.21039686170730698</v>
      </c>
      <c r="I41" s="56">
        <f t="shared" si="22"/>
        <v>0.25734674673729641</v>
      </c>
      <c r="J41" s="56">
        <f t="shared" si="22"/>
        <v>0.27727009150520648</v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8.5985734090160845E-2</v>
      </c>
      <c r="D42" s="56">
        <f t="shared" si="23"/>
        <v>0.15586080892251505</v>
      </c>
      <c r="E42" s="56">
        <f t="shared" si="23"/>
        <v>8.1705284203257095E-2</v>
      </c>
      <c r="F42" s="56">
        <f t="shared" si="23"/>
        <v>7.3802583630376659E-2</v>
      </c>
      <c r="G42" s="56">
        <f t="shared" si="23"/>
        <v>9.1845891920443845E-2</v>
      </c>
      <c r="H42" s="56">
        <f t="shared" si="23"/>
        <v>7.1794714468452342E-2</v>
      </c>
      <c r="I42" s="56">
        <f t="shared" si="23"/>
        <v>8.9481650748672328E-2</v>
      </c>
      <c r="J42" s="56">
        <f t="shared" si="23"/>
        <v>0.17780109927925153</v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>
        <f t="shared" si="24"/>
        <v>0</v>
      </c>
      <c r="J43" s="56">
        <f t="shared" si="24"/>
        <v>0</v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7.0437342852983705E-5</v>
      </c>
      <c r="D44" s="56">
        <f t="shared" si="25"/>
        <v>6.3671844654465925E-5</v>
      </c>
      <c r="E44" s="56">
        <f t="shared" si="25"/>
        <v>9.440464936432048E-5</v>
      </c>
      <c r="F44" s="56">
        <f t="shared" si="25"/>
        <v>3.2965343477565238E-5</v>
      </c>
      <c r="G44" s="56">
        <f t="shared" si="25"/>
        <v>2.0726858543400585E-5</v>
      </c>
      <c r="H44" s="56">
        <f t="shared" si="25"/>
        <v>0</v>
      </c>
      <c r="I44" s="56">
        <f t="shared" si="25"/>
        <v>0</v>
      </c>
      <c r="J44" s="56">
        <f t="shared" si="25"/>
        <v>0</v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9.9669174597289377E-4</v>
      </c>
      <c r="D45" s="56">
        <f>IF(D6="","",MAX(D18,0)/(1-Fin_Analysis!$F$84)/D6)</f>
        <v>9.4978271392056769E-3</v>
      </c>
      <c r="E45" s="56">
        <f>IF(E6="","",MAX(E18,0)/(1-Fin_Analysis!$F$84)/E6)</f>
        <v>1.1743049710530541E-2</v>
      </c>
      <c r="F45" s="56">
        <f>IF(F6="","",MAX(F18,0)/(1-Fin_Analysis!$F$84)/F6)</f>
        <v>1.1167702346091176E-2</v>
      </c>
      <c r="G45" s="56">
        <f>IF(G6="","",MAX(G18,0)/(1-Fin_Analysis!$F$84)/G6)</f>
        <v>1.160654254251242E-2</v>
      </c>
      <c r="H45" s="56">
        <f>IF(H6="","",MAX(H18,0)/(1-Fin_Analysis!$F$84)/H6)</f>
        <v>1.0745223441650178E-2</v>
      </c>
      <c r="I45" s="56">
        <f>IF(I6="","",MAX(I18,0)/(1-Fin_Analysis!$F$84)/I6)</f>
        <v>1.1086366857416494E-2</v>
      </c>
      <c r="J45" s="56">
        <f>IF(J6="","",MAX(J18,0)/(1-Fin_Analysis!$F$84)/J6)</f>
        <v>7.9899542047414309E-3</v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4.8856511613940536E-2</v>
      </c>
      <c r="D46" s="56">
        <f t="shared" si="26"/>
        <v>-4.1046119897922326E-2</v>
      </c>
      <c r="E46" s="56">
        <f t="shared" si="26"/>
        <v>3.7855601208233614E-2</v>
      </c>
      <c r="F46" s="56">
        <f t="shared" si="26"/>
        <v>5.1562504451760506E-2</v>
      </c>
      <c r="G46" s="56">
        <f t="shared" si="26"/>
        <v>1.3030243550801842E-2</v>
      </c>
      <c r="H46" s="56">
        <f t="shared" si="26"/>
        <v>1.8317797178405391E-2</v>
      </c>
      <c r="I46" s="56">
        <f t="shared" si="26"/>
        <v>-1.4473634700691367E-3</v>
      </c>
      <c r="J46" s="56">
        <f t="shared" si="26"/>
        <v>-6.7159772125921086E-2</v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0.11009565391159436</v>
      </c>
      <c r="D48" s="61">
        <f t="shared" si="27"/>
        <v>9.1661397555197838E-2</v>
      </c>
      <c r="E48" s="61">
        <f t="shared" si="27"/>
        <v>0.12295416718934081</v>
      </c>
      <c r="F48" s="61">
        <f t="shared" si="27"/>
        <v>0.1445203499896415</v>
      </c>
      <c r="G48" s="61">
        <f t="shared" si="27"/>
        <v>0.13636200235703244</v>
      </c>
      <c r="H48" s="61">
        <f t="shared" si="27"/>
        <v>0.1500359473767752</v>
      </c>
      <c r="I48" s="61">
        <f t="shared" si="27"/>
        <v>0.14492995312980766</v>
      </c>
      <c r="J48" s="61">
        <f t="shared" si="27"/>
        <v>0.11269266380344538</v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9.6732124698097721E-2</v>
      </c>
      <c r="D49" s="56">
        <f t="shared" si="28"/>
        <v>0.10202614134854508</v>
      </c>
      <c r="E49" s="56">
        <f t="shared" si="28"/>
        <v>0.12026867821851961</v>
      </c>
      <c r="F49" s="56">
        <f t="shared" si="28"/>
        <v>0.10319971286049096</v>
      </c>
      <c r="G49" s="56">
        <f t="shared" si="28"/>
        <v>0.10576948300413792</v>
      </c>
      <c r="H49" s="56">
        <f t="shared" si="28"/>
        <v>9.8066978166136909E-2</v>
      </c>
      <c r="I49" s="56">
        <f t="shared" si="28"/>
        <v>0.10017258898290339</v>
      </c>
      <c r="J49" s="56">
        <f t="shared" si="28"/>
        <v>8.1801814133970613E-2</v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0.19766986347718032</v>
      </c>
      <c r="D51" s="61">
        <f t="shared" ref="D51:M51" si="29">IF(D34="","",(D25-D34)/D25)</f>
        <v>0.21543286092524916</v>
      </c>
      <c r="E51" s="61">
        <f t="shared" si="29"/>
        <v>0.21737674703003232</v>
      </c>
      <c r="F51" s="61">
        <f t="shared" si="29"/>
        <v>0.22004620095970678</v>
      </c>
      <c r="G51" s="61">
        <f t="shared" si="29"/>
        <v>0.19888345313804912</v>
      </c>
      <c r="H51" s="61">
        <f t="shared" si="29"/>
        <v>0.19107288948809867</v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24.519047810878135</v>
      </c>
      <c r="D52" s="60">
        <f t="shared" si="30"/>
        <v>-17.264462349768934</v>
      </c>
      <c r="E52" s="60">
        <f t="shared" si="30"/>
        <v>13.054088110723859</v>
      </c>
      <c r="F52" s="60">
        <f t="shared" si="30"/>
        <v>10.881645921948188</v>
      </c>
      <c r="G52" s="60">
        <f t="shared" si="30"/>
        <v>22.464845595498861</v>
      </c>
      <c r="H52" s="60" t="str">
        <f t="shared" si="30"/>
        <v>-</v>
      </c>
      <c r="I52" s="60" t="str">
        <f t="shared" si="30"/>
        <v>-</v>
      </c>
      <c r="J52" s="60" t="str">
        <f t="shared" si="30"/>
        <v>-</v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1.4417186271826531E-3</v>
      </c>
      <c r="D53" s="56">
        <f t="shared" si="31"/>
        <v>-1.5512268836326444E-3</v>
      </c>
      <c r="E53" s="56">
        <f t="shared" si="31"/>
        <v>2.4938092739572558E-3</v>
      </c>
      <c r="F53" s="56">
        <f t="shared" si="31"/>
        <v>6.3932781830653882E-4</v>
      </c>
      <c r="G53" s="56">
        <f t="shared" si="31"/>
        <v>1.5906731491695807E-3</v>
      </c>
      <c r="H53" s="56" t="str">
        <f t="shared" si="31"/>
        <v>-</v>
      </c>
      <c r="I53" s="56" t="str">
        <f t="shared" si="31"/>
        <v>-</v>
      </c>
      <c r="J53" s="56" t="str">
        <f t="shared" si="31"/>
        <v>-</v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3.0168041692869996</v>
      </c>
      <c r="D54" s="62">
        <f t="shared" si="32"/>
        <v>2.7942400285655307</v>
      </c>
      <c r="E54" s="62">
        <f t="shared" si="32"/>
        <v>2.9317232378441278</v>
      </c>
      <c r="F54" s="62">
        <f t="shared" si="32"/>
        <v>3.0944307449985029</v>
      </c>
      <c r="G54" s="62">
        <f t="shared" si="32"/>
        <v>3.4859449249150689</v>
      </c>
      <c r="H54" s="62">
        <f t="shared" si="32"/>
        <v>3.6713486815660423</v>
      </c>
      <c r="I54" s="62" t="e">
        <f t="shared" si="32"/>
        <v>#DIV/0!</v>
      </c>
      <c r="J54" s="62" t="e">
        <f t="shared" si="32"/>
        <v>#DIV/0!</v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3"/>
  <sheetViews>
    <sheetView showGridLines="0" topLeftCell="A61" zoomScale="125" zoomScaleNormal="100" workbookViewId="0">
      <selection activeCell="F75" activeCellId="2" sqref="F79:F83 F77 F7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1">
        <f>C49-I49</f>
        <v>3666124</v>
      </c>
      <c r="E3" s="73" t="str">
        <f>IF((C49-I49)=D3,"", "Error!")</f>
        <v/>
      </c>
      <c r="F3" s="94"/>
      <c r="G3" s="94"/>
      <c r="H3" s="47" t="s">
        <v>24</v>
      </c>
      <c r="I3" s="59">
        <v>3620511</v>
      </c>
      <c r="K3" s="24"/>
    </row>
    <row r="4" spans="1:11" ht="15" customHeight="1" x14ac:dyDescent="0.15">
      <c r="B4" s="3" t="s">
        <v>25</v>
      </c>
      <c r="C4" s="94"/>
      <c r="D4" s="69">
        <f>D3-I3</f>
        <v>45613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3.0168041692869996</v>
      </c>
      <c r="K5" s="24"/>
    </row>
    <row r="6" spans="1:11" ht="15" customHeight="1" thickBot="1" x14ac:dyDescent="0.2">
      <c r="B6" s="20" t="s">
        <v>27</v>
      </c>
      <c r="C6" s="94"/>
      <c r="D6" s="75">
        <f>E49-I49-E53</f>
        <v>1264593.1669123385</v>
      </c>
      <c r="E6" s="56">
        <f>1-D6/D3</f>
        <v>0.6550599033441481</v>
      </c>
      <c r="F6" s="94"/>
      <c r="G6" s="94"/>
      <c r="H6" s="1" t="s">
        <v>30</v>
      </c>
      <c r="I6" s="67">
        <f>(C24+C25)/I28</f>
        <v>2.527144573887163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1.2116542015963745</v>
      </c>
      <c r="E7" s="11" t="str">
        <f>Dashboard!H3</f>
        <v>HKD</v>
      </c>
      <c r="H7" s="1" t="s">
        <v>31</v>
      </c>
      <c r="I7" s="67">
        <f>C24/I28</f>
        <v>2.447959253563134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227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1322113</v>
      </c>
      <c r="D11" s="64">
        <v>1</v>
      </c>
      <c r="E11" s="95">
        <f t="shared" ref="E11:E21" si="0">C11*D11</f>
        <v>1322113</v>
      </c>
      <c r="F11" s="127"/>
      <c r="G11" s="94"/>
      <c r="H11" s="3" t="s">
        <v>39</v>
      </c>
      <c r="I11" s="63"/>
      <c r="J11" s="94"/>
      <c r="K11" s="24"/>
    </row>
    <row r="12" spans="1:11" ht="14" x14ac:dyDescent="0.15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5523</v>
      </c>
      <c r="J12" s="94"/>
      <c r="K12" s="24"/>
    </row>
    <row r="13" spans="1:11" ht="14" x14ac:dyDescent="0.15">
      <c r="B13" s="3" t="s">
        <v>121</v>
      </c>
      <c r="C13" s="63">
        <v>422018</v>
      </c>
      <c r="D13" s="64">
        <v>0.8</v>
      </c>
      <c r="E13" s="95">
        <f t="shared" si="0"/>
        <v>337614.4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>
        <v>221617</v>
      </c>
      <c r="D14" s="64">
        <v>0.3</v>
      </c>
      <c r="E14" s="95">
        <f>C14*D14</f>
        <v>66485.099999999991</v>
      </c>
      <c r="F14" s="127"/>
      <c r="G14" s="94"/>
      <c r="H14" s="93" t="s">
        <v>43</v>
      </c>
      <c r="I14" s="145"/>
      <c r="J14" s="94"/>
      <c r="K14" s="27"/>
    </row>
    <row r="15" spans="1:11" ht="14" x14ac:dyDescent="0.15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5523</v>
      </c>
      <c r="J15" s="94"/>
    </row>
    <row r="16" spans="1:11" ht="14" x14ac:dyDescent="0.15">
      <c r="B16" s="1" t="s">
        <v>174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63587</v>
      </c>
      <c r="D17" s="64">
        <v>0.1</v>
      </c>
      <c r="E17" s="95">
        <f t="shared" si="0"/>
        <v>6358.7000000000007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370793</v>
      </c>
      <c r="D18" s="64">
        <v>0.5</v>
      </c>
      <c r="E18" s="95">
        <f t="shared" si="0"/>
        <v>185396.5</v>
      </c>
      <c r="F18" s="127"/>
      <c r="G18" s="94"/>
      <c r="H18" s="94"/>
      <c r="I18" s="94"/>
    </row>
    <row r="19" spans="2:10" ht="14" x14ac:dyDescent="0.15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22411</v>
      </c>
      <c r="D21" s="64">
        <v>0.95</v>
      </c>
      <c r="E21" s="95">
        <f t="shared" si="0"/>
        <v>21290.45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797492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1965748</v>
      </c>
      <c r="D24" s="66">
        <f>IF(E24=0,0,E24/C24)</f>
        <v>0.87814536756491679</v>
      </c>
      <c r="E24" s="95">
        <f>SUM(E11:E14)</f>
        <v>1726212.5</v>
      </c>
      <c r="F24" s="129">
        <f>E24/$E$28</f>
        <v>0.89014064476150334</v>
      </c>
      <c r="G24" s="94"/>
    </row>
    <row r="25" spans="2:10" ht="15" customHeight="1" x14ac:dyDescent="0.15">
      <c r="B25" s="23" t="s">
        <v>55</v>
      </c>
      <c r="C25" s="65">
        <f>SUM(C15:C17)</f>
        <v>63587</v>
      </c>
      <c r="D25" s="66">
        <f>IF(E25=0,0,E25/C25)</f>
        <v>0.1</v>
      </c>
      <c r="E25" s="95">
        <f>SUM(E15:E17)</f>
        <v>6358.7000000000007</v>
      </c>
      <c r="F25" s="129">
        <f t="shared" ref="F25:F27" si="2">E25/$E$28</f>
        <v>3.2789342666936843E-3</v>
      </c>
      <c r="G25" s="94"/>
      <c r="H25" s="23" t="s">
        <v>56</v>
      </c>
      <c r="I25" s="67">
        <f>E28/I28</f>
        <v>2.4149712645467392</v>
      </c>
    </row>
    <row r="26" spans="2:10" ht="15" customHeight="1" x14ac:dyDescent="0.15">
      <c r="B26" s="23" t="s">
        <v>57</v>
      </c>
      <c r="C26" s="65">
        <f>C18+C19+C20</f>
        <v>370793</v>
      </c>
      <c r="D26" s="66">
        <f t="shared" ref="D26:D27" si="3">IF(E26=0,0,E26/C26)</f>
        <v>0.5</v>
      </c>
      <c r="E26" s="95">
        <f>E18+E19+E20</f>
        <v>185396.5</v>
      </c>
      <c r="F26" s="129">
        <f t="shared" si="2"/>
        <v>9.5601764004446754E-2</v>
      </c>
      <c r="G26" s="94"/>
      <c r="H26" s="23" t="s">
        <v>58</v>
      </c>
      <c r="I26" s="67">
        <f>E24/($I$28-I22)</f>
        <v>312.54979177982977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22411</v>
      </c>
      <c r="D27" s="66">
        <f t="shared" si="3"/>
        <v>0.95000000000000007</v>
      </c>
      <c r="E27" s="95">
        <f>E21+E22</f>
        <v>21290.45</v>
      </c>
      <c r="F27" s="129">
        <f t="shared" si="2"/>
        <v>1.0978656967356306E-2</v>
      </c>
      <c r="G27" s="94"/>
      <c r="H27" s="23" t="s">
        <v>60</v>
      </c>
      <c r="I27" s="67">
        <f>(E25+E24)/$I$28</f>
        <v>2.1575826105365405</v>
      </c>
      <c r="J27" s="8" t="str">
        <f>IF(OR(I27&lt;0.75,C28&lt;I28),"Liquidity Problem!","")</f>
        <v/>
      </c>
    </row>
    <row r="28" spans="2:10" ht="15" customHeight="1" x14ac:dyDescent="0.15">
      <c r="B28" s="85" t="s">
        <v>15</v>
      </c>
      <c r="C28" s="86">
        <f>SUM(C11:C22)</f>
        <v>2422539</v>
      </c>
      <c r="D28" s="61">
        <f t="shared" ref="D28" si="4">E28/C28</f>
        <v>0.80050647275441178</v>
      </c>
      <c r="E28" s="76">
        <f>SUM(E24:E27)</f>
        <v>1939258.15</v>
      </c>
      <c r="F28" s="127"/>
      <c r="G28" s="94"/>
      <c r="H28" s="85" t="s">
        <v>16</v>
      </c>
      <c r="I28" s="72">
        <v>803015</v>
      </c>
      <c r="J28" s="32">
        <f>IF(J26="",1,0)+IF(J27="",1,0)+IF(J46="",1,0)+IF(J47="",1,0)</f>
        <v>4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>
        <v>39731</v>
      </c>
      <c r="D31" s="64">
        <v>0.5</v>
      </c>
      <c r="E31" s="95">
        <f t="shared" ref="E31:E42" si="5">C31*D31</f>
        <v>19865.5</v>
      </c>
      <c r="F31" s="127"/>
      <c r="G31" s="94"/>
      <c r="H31" s="3" t="s">
        <v>64</v>
      </c>
      <c r="I31" s="63">
        <v>2115</v>
      </c>
      <c r="J31" s="94"/>
    </row>
    <row r="32" spans="2:10" ht="15" customHeight="1" x14ac:dyDescent="0.15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175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4" x14ac:dyDescent="0.15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2115</v>
      </c>
      <c r="J34" s="94"/>
    </row>
    <row r="35" spans="2:10" ht="14" x14ac:dyDescent="0.15">
      <c r="B35" s="3" t="s">
        <v>70</v>
      </c>
      <c r="C35" s="63">
        <v>85171</v>
      </c>
      <c r="D35" s="64">
        <v>0.1</v>
      </c>
      <c r="E35" s="95">
        <f t="shared" si="5"/>
        <v>8517.1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1863998</v>
      </c>
      <c r="D38" s="64">
        <v>0.1</v>
      </c>
      <c r="E38" s="95">
        <f>C38*D38</f>
        <v>186399.80000000002</v>
      </c>
      <c r="F38" s="127"/>
      <c r="G38" s="94"/>
      <c r="H38" s="94"/>
      <c r="I38" s="94"/>
    </row>
    <row r="39" spans="2:10" ht="14" x14ac:dyDescent="0.15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23958</v>
      </c>
      <c r="D40" s="64">
        <v>0.05</v>
      </c>
      <c r="E40" s="95">
        <f t="shared" si="5"/>
        <v>1197.9000000000001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71331</v>
      </c>
      <c r="D41" s="64">
        <v>0.95</v>
      </c>
      <c r="E41" s="95">
        <f t="shared" si="5"/>
        <v>67764.45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62618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98092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39731</v>
      </c>
      <c r="D44" s="66">
        <f>IF(E44=0,0,E44/C44)</f>
        <v>0.5</v>
      </c>
      <c r="E44" s="95">
        <f>SUM(E30:E31)</f>
        <v>19865.5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85171</v>
      </c>
      <c r="D45" s="66">
        <f>IF(E45=0,0,E45/C45)</f>
        <v>0.1</v>
      </c>
      <c r="E45" s="95">
        <f>SUM(E32:E35)</f>
        <v>8517.1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1863998</v>
      </c>
      <c r="D46" s="66">
        <f t="shared" ref="D46:D47" si="6">IF(E46=0,0,E46/C46)</f>
        <v>0.1</v>
      </c>
      <c r="E46" s="95">
        <f>E36+E37+E38+E39</f>
        <v>186399.80000000002</v>
      </c>
      <c r="F46" s="94"/>
      <c r="G46" s="94"/>
      <c r="H46" s="23" t="s">
        <v>81</v>
      </c>
      <c r="I46" s="67">
        <f>(E44+E24)/E64</f>
        <v>228.60408483896308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157907</v>
      </c>
      <c r="D47" s="66">
        <f t="shared" si="6"/>
        <v>0.4367276308206729</v>
      </c>
      <c r="E47" s="95">
        <f>E40+E41+E42</f>
        <v>68962.349999999991</v>
      </c>
      <c r="F47" s="94"/>
      <c r="G47" s="94"/>
      <c r="H47" s="23" t="s">
        <v>83</v>
      </c>
      <c r="I47" s="67">
        <f>(E44+E45+E24+E25)/$I$49</f>
        <v>1.9496356377501878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2146807</v>
      </c>
      <c r="D48" s="89">
        <f>E48/C48</f>
        <v>0.13217059102192233</v>
      </c>
      <c r="E48" s="83">
        <f>SUM(E30:E42)</f>
        <v>283744.75</v>
      </c>
      <c r="F48" s="94"/>
      <c r="G48" s="94"/>
      <c r="H48" s="87" t="s">
        <v>85</v>
      </c>
      <c r="I48" s="90">
        <v>100207</v>
      </c>
      <c r="J48" s="8"/>
    </row>
    <row r="49" spans="2:10" ht="15" customHeight="1" thickTop="1" x14ac:dyDescent="0.15">
      <c r="B49" s="3" t="s">
        <v>14</v>
      </c>
      <c r="C49" s="65">
        <f>C28+C48</f>
        <v>4569346</v>
      </c>
      <c r="D49" s="56">
        <f>E49/C49</f>
        <v>0.48650351713352413</v>
      </c>
      <c r="E49" s="95">
        <f>E28+E48</f>
        <v>2223002.9</v>
      </c>
      <c r="F49" s="94"/>
      <c r="G49" s="94"/>
      <c r="H49" s="3" t="s">
        <v>86</v>
      </c>
      <c r="I49" s="52">
        <f>I28+I48</f>
        <v>903222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D4</f>
        <v>45613</v>
      </c>
      <c r="D53" s="29">
        <f>IF(E53=0, 0,E53/C53)</f>
        <v>1.2099123733948989</v>
      </c>
      <c r="E53" s="95">
        <f>MAX(C53,C53*Dashboard!G23)</f>
        <v>55187.733087661523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9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10">
        <f>I15+I34</f>
        <v>7638</v>
      </c>
      <c r="E56" s="211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5">
        <v>0</v>
      </c>
      <c r="E57" s="204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5">
        <v>0</v>
      </c>
      <c r="E58" s="204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346519</v>
      </c>
      <c r="D61" s="56">
        <f t="shared" ref="D61:D70" si="7">IF(E61=0,0,E61/C61)</f>
        <v>0.27377344388042213</v>
      </c>
      <c r="E61" s="52">
        <f>E14+E15+(E19*G19)+(E20*G20)+E31+E32+(E35*G35)+(E36*G36)+(E37*G37)</f>
        <v>94867.7</v>
      </c>
      <c r="F61" s="94"/>
      <c r="G61" s="94"/>
      <c r="H61" s="94"/>
      <c r="I61" s="94"/>
    </row>
    <row r="62" spans="2:10" ht="14" x14ac:dyDescent="0.15">
      <c r="B62" s="35" t="s">
        <v>152</v>
      </c>
      <c r="C62" s="142">
        <f>C11+C30</f>
        <v>1322113</v>
      </c>
      <c r="D62" s="122">
        <f t="shared" si="7"/>
        <v>1</v>
      </c>
      <c r="E62" s="143">
        <f>E11+E30</f>
        <v>1322113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1668632</v>
      </c>
      <c r="D63" s="29">
        <f t="shared" si="7"/>
        <v>0.84918705862047472</v>
      </c>
      <c r="E63" s="65">
        <f>E61+E62</f>
        <v>1416980.7</v>
      </c>
      <c r="F63" s="94"/>
      <c r="G63" s="94"/>
      <c r="H63" s="94"/>
      <c r="I63" s="94"/>
    </row>
    <row r="64" spans="2:10" thickBot="1" x14ac:dyDescent="0.2">
      <c r="B64" s="146" t="s">
        <v>164</v>
      </c>
      <c r="C64" s="147"/>
      <c r="D64" s="148"/>
      <c r="E64" s="75">
        <f>D56+D57+D58</f>
        <v>7638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1660994</v>
      </c>
      <c r="D65" s="29">
        <f t="shared" si="7"/>
        <v>0.84849355265581927</v>
      </c>
      <c r="E65" s="65">
        <f>E63-E64</f>
        <v>1409342.7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2900714</v>
      </c>
      <c r="D68" s="29">
        <f t="shared" si="7"/>
        <v>0.27787027607685555</v>
      </c>
      <c r="E68" s="74">
        <f>E49-E63</f>
        <v>806022.2</v>
      </c>
      <c r="F68" s="94"/>
      <c r="G68" s="94"/>
      <c r="H68" s="94"/>
      <c r="I68" s="94"/>
    </row>
    <row r="69" spans="1:9" thickBot="1" x14ac:dyDescent="0.2">
      <c r="B69" s="146" t="s">
        <v>165</v>
      </c>
      <c r="C69" s="147"/>
      <c r="D69" s="148"/>
      <c r="E69" s="160">
        <f>I49-E64</f>
        <v>895584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2005130</v>
      </c>
      <c r="D70" s="29">
        <f t="shared" si="7"/>
        <v>-4.4666330861340683E-2</v>
      </c>
      <c r="E70" s="74">
        <f>E68-E69</f>
        <v>-89561.800000000047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08">
        <f>Data!C5</f>
        <v>45291</v>
      </c>
      <c r="D72" s="208"/>
      <c r="H72" s="50" t="s">
        <v>8</v>
      </c>
    </row>
    <row r="73" spans="1:9" ht="15" customHeight="1" x14ac:dyDescent="0.15">
      <c r="B73" s="12" t="str">
        <f>"(Numbers in "&amp;Data!E3&amp;Dashboard!G6&amp;")"</f>
        <v>(Numbers in 1000HKD)</v>
      </c>
      <c r="C73" s="207" t="s">
        <v>103</v>
      </c>
      <c r="D73" s="207"/>
      <c r="E73" s="209" t="s">
        <v>104</v>
      </c>
      <c r="F73" s="207"/>
    </row>
    <row r="74" spans="1:9" ht="15" customHeight="1" x14ac:dyDescent="0.15">
      <c r="B74" s="3" t="s">
        <v>136</v>
      </c>
      <c r="C74" s="95">
        <f>Data!C6</f>
        <v>3833194</v>
      </c>
      <c r="D74" s="130"/>
      <c r="E74" s="149">
        <f>C74</f>
        <v>3833194</v>
      </c>
      <c r="F74" s="130"/>
    </row>
    <row r="75" spans="1:9" ht="15" customHeight="1" x14ac:dyDescent="0.15">
      <c r="B75" s="117" t="s">
        <v>109</v>
      </c>
      <c r="C75" s="95">
        <f>Data!C8</f>
        <v>2530133</v>
      </c>
      <c r="D75" s="131">
        <f>C75/$C$74</f>
        <v>0.66005868735054896</v>
      </c>
      <c r="E75" s="149">
        <f>D75*E74</f>
        <v>2530133</v>
      </c>
      <c r="F75" s="150">
        <f>E75/$E$74</f>
        <v>0.66005868735054896</v>
      </c>
    </row>
    <row r="76" spans="1:9" ht="15" customHeight="1" x14ac:dyDescent="0.15">
      <c r="B76" s="35" t="s">
        <v>96</v>
      </c>
      <c r="C76" s="118">
        <f>C74-C75</f>
        <v>1303061</v>
      </c>
      <c r="D76" s="132"/>
      <c r="E76" s="151">
        <f>E74-E75</f>
        <v>1303061</v>
      </c>
      <c r="F76" s="132"/>
    </row>
    <row r="77" spans="1:9" ht="15" customHeight="1" x14ac:dyDescent="0.15">
      <c r="B77" s="117" t="s">
        <v>133</v>
      </c>
      <c r="C77" s="95">
        <f>Data!C10-Data!C12</f>
        <v>782094</v>
      </c>
      <c r="D77" s="131">
        <f>C77/$C$74</f>
        <v>0.20403193785652382</v>
      </c>
      <c r="E77" s="149">
        <f>D77*E74</f>
        <v>782094</v>
      </c>
      <c r="F77" s="150">
        <f>E77/$E$74</f>
        <v>0.20403193785652382</v>
      </c>
    </row>
    <row r="78" spans="1:9" ht="15" customHeight="1" x14ac:dyDescent="0.15">
      <c r="B78" s="35" t="s">
        <v>97</v>
      </c>
      <c r="C78" s="118">
        <f>C76-C77</f>
        <v>520967</v>
      </c>
      <c r="D78" s="132"/>
      <c r="E78" s="151">
        <f>E76-E77</f>
        <v>520967</v>
      </c>
      <c r="F78" s="132"/>
    </row>
    <row r="79" spans="1:9" ht="15" customHeight="1" x14ac:dyDescent="0.15">
      <c r="B79" s="117" t="s">
        <v>129</v>
      </c>
      <c r="C79" s="95">
        <f>Data!C17</f>
        <v>270</v>
      </c>
      <c r="D79" s="131">
        <f>C79/$C$74</f>
        <v>7.0437342852983705E-5</v>
      </c>
      <c r="E79" s="149">
        <f>C79</f>
        <v>270</v>
      </c>
      <c r="F79" s="150">
        <f>E79/$E$74</f>
        <v>7.0437342852983705E-5</v>
      </c>
    </row>
    <row r="80" spans="1:9" ht="15" customHeight="1" x14ac:dyDescent="0.15">
      <c r="B80" s="28" t="s">
        <v>135</v>
      </c>
      <c r="C80" s="95">
        <f>Data!C14+MAX(Data!C15,0)</f>
        <v>329600</v>
      </c>
      <c r="D80" s="131">
        <f>C80/$C$74</f>
        <v>8.5985734090160845E-2</v>
      </c>
      <c r="E80" s="149">
        <f>4%*E74</f>
        <v>153327.76</v>
      </c>
      <c r="F80" s="150">
        <f t="shared" ref="F80:F83" si="8">E80/$E$74</f>
        <v>0.04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9">
        <f>C81</f>
        <v>0</v>
      </c>
      <c r="F81" s="150">
        <f t="shared" si="8"/>
        <v>0</v>
      </c>
      <c r="H81" s="125" t="s">
        <v>141</v>
      </c>
    </row>
    <row r="82" spans="1:8" ht="15" customHeight="1" x14ac:dyDescent="0.15">
      <c r="B82" s="79" t="s">
        <v>192</v>
      </c>
      <c r="C82" s="95">
        <f>MAX(Data!C18,0)</f>
        <v>2980</v>
      </c>
      <c r="D82" s="131">
        <f>C82/$C$74</f>
        <v>7.7741956185885708E-4</v>
      </c>
      <c r="E82" s="149">
        <f>E74*0.08%</f>
        <v>3066.5552000000002</v>
      </c>
      <c r="F82" s="150">
        <f t="shared" si="8"/>
        <v>8.0000000000000004E-4</v>
      </c>
    </row>
    <row r="83" spans="1:8" ht="15" customHeight="1" thickBot="1" x14ac:dyDescent="0.2">
      <c r="B83" s="119" t="s">
        <v>134</v>
      </c>
      <c r="C83" s="100">
        <f>C78-C79-C80-C81-C82</f>
        <v>188117</v>
      </c>
      <c r="D83" s="133">
        <f>C83/$C$74</f>
        <v>4.9075783798054572E-2</v>
      </c>
      <c r="E83" s="152">
        <f>E78-E79-E80-E81-E82</f>
        <v>364302.68479999999</v>
      </c>
      <c r="F83" s="135">
        <f t="shared" si="8"/>
        <v>9.5038937450074273E-2</v>
      </c>
    </row>
    <row r="84" spans="1:8" ht="15" customHeight="1" thickTop="1" x14ac:dyDescent="0.15">
      <c r="B84" s="28" t="s">
        <v>98</v>
      </c>
      <c r="C84" s="121"/>
      <c r="D84" s="134"/>
      <c r="E84" s="153"/>
      <c r="F84" s="136">
        <v>0.22</v>
      </c>
    </row>
    <row r="85" spans="1:8" ht="15" customHeight="1" x14ac:dyDescent="0.15">
      <c r="B85" s="93" t="s">
        <v>181</v>
      </c>
      <c r="C85" s="118">
        <f>C83*(1-F84)</f>
        <v>146731.26</v>
      </c>
      <c r="D85" s="135">
        <f>C85/$C$74</f>
        <v>3.8279111362482569E-2</v>
      </c>
      <c r="E85" s="154">
        <f>E83*(1-F84)</f>
        <v>284156.09414399997</v>
      </c>
      <c r="F85" s="135">
        <f>E85/$E$74</f>
        <v>7.4130371211057922E-2</v>
      </c>
    </row>
    <row r="86" spans="1:8" ht="15" customHeight="1" x14ac:dyDescent="0.15">
      <c r="B86" s="94" t="s">
        <v>176</v>
      </c>
      <c r="C86" s="161">
        <f>C85*Data!E3/Common_Shares</f>
        <v>0.14058873030179378</v>
      </c>
      <c r="D86" s="130"/>
      <c r="E86" s="163">
        <f>E85*Data!E3/Common_Shares</f>
        <v>0.27226062451329008</v>
      </c>
      <c r="F86" s="130"/>
    </row>
    <row r="87" spans="1:8" ht="15" customHeight="1" x14ac:dyDescent="0.15">
      <c r="B87" s="93" t="s">
        <v>177</v>
      </c>
      <c r="C87" s="164">
        <v>0.15820000000000001</v>
      </c>
      <c r="D87" s="135">
        <f>C87/C86</f>
        <v>1.1252680044865697</v>
      </c>
      <c r="E87" s="162">
        <f>C87</f>
        <v>0.15820000000000001</v>
      </c>
      <c r="F87" s="135">
        <f>E87/E86</f>
        <v>0.58106088709231496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169</v>
      </c>
      <c r="C89" s="21"/>
      <c r="H89" s="50" t="s">
        <v>145</v>
      </c>
    </row>
    <row r="90" spans="1:8" ht="15" customHeight="1" x14ac:dyDescent="0.15">
      <c r="B90" s="10" t="s">
        <v>170</v>
      </c>
      <c r="D90" s="212" t="s">
        <v>171</v>
      </c>
      <c r="E90" s="212"/>
      <c r="G90" s="94"/>
    </row>
    <row r="91" spans="1:8" ht="15" customHeight="1" x14ac:dyDescent="0.15">
      <c r="B91" s="1" t="s">
        <v>196</v>
      </c>
      <c r="C91" s="174" t="s">
        <v>216</v>
      </c>
      <c r="D91" s="206" t="s">
        <v>172</v>
      </c>
      <c r="E91" s="206"/>
      <c r="F91" s="29">
        <f>E83/C68</f>
        <v>0.12559069415323262</v>
      </c>
      <c r="H91" s="187"/>
    </row>
    <row r="92" spans="1:8" ht="15" customHeight="1" x14ac:dyDescent="0.15">
      <c r="B92" s="1" t="str">
        <f>IF(C91="CN",Dashboard!B17,Dashboard!B12)</f>
        <v>Required Return (US)</v>
      </c>
      <c r="C92" s="176">
        <f>IF(C91="CN",Dashboard!C17,IF(C91="US",Dashboard!C12,IF(C91="HK",Dashboard!D12,Dashboard!D17)))</f>
        <v>9.6250000000000002E-2</v>
      </c>
      <c r="D92" s="206" t="s">
        <v>168</v>
      </c>
      <c r="E92" s="206"/>
      <c r="F92" s="137">
        <v>0.02</v>
      </c>
      <c r="H92" s="187"/>
    </row>
    <row r="94" spans="1:8" ht="15" customHeight="1" x14ac:dyDescent="0.15">
      <c r="A94" s="5"/>
      <c r="B94" s="120" t="str">
        <f xml:space="preserve"> "Valuation in "&amp;Dashboard!H3</f>
        <v>Valuation in HKD</v>
      </c>
      <c r="D94" s="165" t="str">
        <f>Dashboard!H3</f>
        <v>HKD</v>
      </c>
    </row>
    <row r="95" spans="1:8" ht="15" customHeight="1" x14ac:dyDescent="0.15">
      <c r="B95" s="1" t="s">
        <v>140</v>
      </c>
      <c r="C95" s="102">
        <f>E85/(C92-F92)*Exchange_Rate</f>
        <v>3726637.3002491803</v>
      </c>
      <c r="D95" s="155">
        <f>C95*Data!$E$3/Common_Shares</f>
        <v>3.5706311411579028</v>
      </c>
    </row>
    <row r="96" spans="1:8" ht="15" customHeight="1" x14ac:dyDescent="0.15">
      <c r="B96" s="28" t="s">
        <v>157</v>
      </c>
      <c r="C96" s="102">
        <f>E82*Exchange_Rate</f>
        <v>3066.5552000000002</v>
      </c>
      <c r="D96" s="155">
        <f>C96*Data!$E$3/Common_Shares</f>
        <v>2.9381816933103642E-3</v>
      </c>
      <c r="E96" s="94"/>
      <c r="F96" s="138"/>
    </row>
    <row r="97" spans="2:6" ht="15" customHeight="1" thickBot="1" x14ac:dyDescent="0.2">
      <c r="B97" s="119" t="s">
        <v>158</v>
      </c>
      <c r="C97" s="123">
        <f>(E65+MIN(0,E70))*Exchange_Rate</f>
        <v>1319780.8999999999</v>
      </c>
      <c r="D97" s="156">
        <f>C97*Data!$E$3/Common_Shares</f>
        <v>1.2645316410937837</v>
      </c>
      <c r="E97" s="157" t="s">
        <v>143</v>
      </c>
      <c r="F97" s="158" t="s">
        <v>144</v>
      </c>
    </row>
    <row r="98" spans="2:6" ht="15" customHeight="1" thickTop="1" x14ac:dyDescent="0.15">
      <c r="B98" s="1" t="s">
        <v>119</v>
      </c>
      <c r="C98" s="102">
        <f>C95-C96+$C$97</f>
        <v>5043351.6450491808</v>
      </c>
      <c r="D98" s="124">
        <f>MAX(C98*Data!$E$3/Common_Shares,0)</f>
        <v>4.8322246005583764</v>
      </c>
      <c r="E98" s="124">
        <f>D98*(1-25%)</f>
        <v>3.6241684504187823</v>
      </c>
      <c r="F98" s="124">
        <f>D98*1.25</f>
        <v>6.0402807506979705</v>
      </c>
    </row>
    <row r="100" spans="2:6" ht="15" customHeight="1" x14ac:dyDescent="0.15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15">
      <c r="B101" s="1" t="s">
        <v>178</v>
      </c>
      <c r="C101" s="102">
        <f>D101*Common_Shares/Data!E3</f>
        <v>2165403.1755540986</v>
      </c>
      <c r="D101" s="155">
        <f>E87/(C92-F92)*Exchange_Rate</f>
        <v>2.0747540983606561</v>
      </c>
      <c r="E101" s="124">
        <f>D101*(1-25%)</f>
        <v>1.556065573770492</v>
      </c>
      <c r="F101" s="124">
        <f>D101*1.25</f>
        <v>2.5934426229508203</v>
      </c>
    </row>
    <row r="103" spans="2:6" ht="15" customHeight="1" x14ac:dyDescent="0.15">
      <c r="B103" s="10" t="s">
        <v>182</v>
      </c>
      <c r="C103" s="166" t="s">
        <v>215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3">
    <cfRule type="containsBlanks" dxfId="3" priority="2">
      <formula>LEN(TRIM(C103))=0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3" xr:uid="{E383D7BB-5EEE-044F-801D-1E55C0035917}">
      <formula1>"Profit, Dividend"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2024-10-27T15:30:48Z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