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4E29454B-5CBE-4F24-A92F-A21E4530089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2" i="2" l="1"/>
  <c r="G52" i="2"/>
  <c r="H52" i="2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F106" i="3" s="1"/>
  <c r="F29" i="1" s="1"/>
  <c r="H106" i="3"/>
  <c r="D100" i="3" l="1"/>
  <c r="C29" i="1" s="1"/>
  <c r="D106" i="3" l="1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<sst xmlns="http://schemas.openxmlformats.org/spreadsheetml/2006/main" count="391" uniqueCount="270">
  <si>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</si>
  <si>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</si>
  <si>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</si>
  <si>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</si>
  <si>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</si>
  <si>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</si>
  <si>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</si>
  <si>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</si>
  <si>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</si>
  <si>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</si>
  <si>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</si>
  <si>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</si>
  <si>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</si>
  <si>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</si>
  <si>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</si>
  <si>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</si>
  <si>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</si>
  <si>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</si>
  <si>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</si>
  <si>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</si>
  <si>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</si>
  <si>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</si>
  <si>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</si>
  <si>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</si>
  <si>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</si>
  <si>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</si>
  <si>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</si>
  <si>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</si>
  <si>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</si>
  <si>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</si>
  <si>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</si>
  <si>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</si>
  <si>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</si>
  <si>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</si>
  <si>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</si>
  <si>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</si>
  <si>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</si>
  <si>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</si>
  <si>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</si>
  <si>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</si>
  <si>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</si>
  <si>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</si>
  <si>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</si>
  <si>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</si>
  <si>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</si>
  <si>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</si>
  <si>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</si>
  <si>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</si>
  <si>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</si>
  <si>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</si>
  <si>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</si>
  <si>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</si>
  <si>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</si>
  <si>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</si>
  <si>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</si>
  <si>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</si>
  <si>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</si>
  <si>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</si>
  <si>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</si>
  <si>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</si>
  <si>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</si>
  <si>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</si>
  <si>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</si>
  <si>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</si>
  <si>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</si>
  <si>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</si>
  <si>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</si>
  <si>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</si>
  <si>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</si>
  <si>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</si>
  <si>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</si>
  <si>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</si>
  <si>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</si>
  <si>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</si>
  <si>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</si>
  <si>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</si>
  <si>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</si>
  <si>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</si>
  <si>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</si>
  <si>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</si>
  <si>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</si>
  <si>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</si>
  <si>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</si>
  <si>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</si>
  <si>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</si>
  <si>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</si>
  <si>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</si>
  <si>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</si>
  <si>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</si>
  <si>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</si>
  <si>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</si>
  <si>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</si>
  <si>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</si>
  <si>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</si>
  <si>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</si>
  <si>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</si>
  <si>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</si>
  <si>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</si>
  <si>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</si>
  <si>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</si>
  <si>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</si>
  <si>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</si>
  <si>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</si>
  <si>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</si>
  <si>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</si>
  <si>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</si>
  <si>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</si>
  <si>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</si>
  <si>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</si>
  <si>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</si>
  <si>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</si>
  <si>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</si>
  <si>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</si>
  <si>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</si>
  <si>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</si>
  <si>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</si>
  <si>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</si>
  <si>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</si>
  <si>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</si>
  <si>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</si>
  <si>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</si>
  <si>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</si>
  <si>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</si>
  <si>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</si>
  <si>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</si>
  <si>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</si>
  <si>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</si>
  <si>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</si>
  <si>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</si>
  <si>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</si>
  <si>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</si>
  <si>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</si>
  <si>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</si>
  <si>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</si>
  <si>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</si>
  <si>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</si>
  <si>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</si>
  <si>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</si>
  <si>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</si>
  <si>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</si>
  <si>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</si>
  <si>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</si>
  <si>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</si>
  <si>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</si>
  <si>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</si>
  <si>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</si>
  <si>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</si>
  <si>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</si>
  <si>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</si>
  <si>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</si>
  <si>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</si>
  <si>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</si>
  <si>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</si>
  <si>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</si>
  <si>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</si>
  <si>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</si>
  <si>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</si>
  <si>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</si>
  <si>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</si>
  <si>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</si>
  <si>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</si>
  <si>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</si>
  <si>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</si>
  <si>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</si>
  <si>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</si>
  <si>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</si>
  <si>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</si>
  <si>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</si>
  <si>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</si>
  <si>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</si>
  <si>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</si>
  <si>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</si>
  <si>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</si>
  <si>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</si>
  <si>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</si>
  <si>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</si>
  <si>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</si>
  <si>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</si>
  <si>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</si>
  <si>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</si>
  <si>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</si>
  <si>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</si>
  <si>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</si>
  <si>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</si>
  <si>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</si>
  <si>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</si>
  <si>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</si>
  <si>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</si>
  <si>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</si>
  <si>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</si>
  <si>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</si>
  <si>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</si>
  <si>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</si>
  <si>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</si>
  <si>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</si>
  <si>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</si>
  <si>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</si>
  <si>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</si>
  <si>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</si>
  <si>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</si>
  <si>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</si>
  <si>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</si>
  <si>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</si>
  <si>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</si>
  <si>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</si>
  <si>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</si>
  <si>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</si>
  <si>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</si>
  <si>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</si>
  <si>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</si>
  <si>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</si>
  <si>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</si>
  <si>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</si>
  <si>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</si>
  <si>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</si>
  <si>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</si>
  <si>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</si>
  <si>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</si>
  <si>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</si>
  <si>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</si>
  <si>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</si>
  <si>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</si>
  <si>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</si>
  <si>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</si>
  <si>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</si>
  <si>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</si>
  <si>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</si>
  <si>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</si>
  <si>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</si>
  <si>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</si>
  <si>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</si>
  <si>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</si>
  <si>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</si>
  <si>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</si>
  <si>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</si>
  <si>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</si>
  <si>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</si>
  <si>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</si>
  <si>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</si>
  <si>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</si>
  <si>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</si>
  <si>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</si>
  <si>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</si>
  <si>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</si>
  <si>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</si>
  <si>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</si>
  <si>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</si>
  <si>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</si>
  <si>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</si>
  <si>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</si>
  <si>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</si>
  <si>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</si>
  <si>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</si>
  <si>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</si>
  <si>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</si>
  <si>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</si>
  <si>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</si>
  <si>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</si>
  <si>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</si>
  <si>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</si>
  <si>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</si>
  <si>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</si>
  <si>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</si>
  <si>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</si>
  <si>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</si>
  <si>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1044.HK</t>
    <phoneticPr fontId="20" type="noConversion"/>
  </si>
  <si>
    <t>C0007</t>
    <phoneticPr fontId="20" type="noConversion"/>
  </si>
  <si>
    <t>CNY</t>
    <phoneticPr fontId="20" type="noConversion"/>
  </si>
  <si>
    <t>HKD</t>
    <phoneticPr fontId="20" type="noConversion"/>
  </si>
  <si>
    <t>恒安國際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</si>
</sst>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0.66296240447635002</c:v>
                </c:pt>
                <c:pt idx="1">
                  <c:v>0.21326576274860384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0.12377183277504618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11" sqref="C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269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1162120917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23767936</v>
      </c>
      <c r="D25" s="149">
        <v>22615878</v>
      </c>
      <c r="E25" s="149">
        <v>20790144</v>
      </c>
      <c r="F25" s="149">
        <v>22374001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15757248</v>
      </c>
      <c r="D26" s="150">
        <v>14926379</v>
      </c>
      <c r="E26" s="150">
        <v>13017826</v>
      </c>
      <c r="F26" s="150">
        <v>12918146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5068887</v>
      </c>
      <c r="D27" s="150">
        <v>4888813</v>
      </c>
      <c r="E27" s="150">
        <v>4526293</v>
      </c>
      <c r="F27" s="150">
        <v>4832922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1.4000017980932391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6.5696269123750081E-2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23767936</v>
      </c>
      <c r="D91" s="209"/>
      <c r="E91" s="251">
        <f>C91</f>
        <v>23767936</v>
      </c>
      <c r="F91" s="251">
        <f>C91</f>
        <v>23767936</v>
      </c>
    </row>
    <row r="92" spans="2:8" ht="13.9" x14ac:dyDescent="0.4">
      <c r="B92" s="104" t="s">
        <v>105</v>
      </c>
      <c r="C92" s="77">
        <f>C26</f>
        <v>15757248</v>
      </c>
      <c r="D92" s="159">
        <f>C92/C91</f>
        <v>0.66296240447635002</v>
      </c>
      <c r="E92" s="252">
        <f>E91*D92</f>
        <v>15757248</v>
      </c>
      <c r="F92" s="252">
        <f>F91*D92</f>
        <v>15757248</v>
      </c>
    </row>
    <row r="93" spans="2:8" ht="13.9" x14ac:dyDescent="0.4">
      <c r="B93" s="104" t="s">
        <v>247</v>
      </c>
      <c r="C93" s="77">
        <f>C27+C28</f>
        <v>5068887</v>
      </c>
      <c r="D93" s="159">
        <f>C93/C91</f>
        <v>0.21326576274860384</v>
      </c>
      <c r="E93" s="252">
        <f>E91*D93</f>
        <v>5068887</v>
      </c>
      <c r="F93" s="252">
        <f>F91*D93</f>
        <v>5068887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1.4000017980932391</v>
      </c>
      <c r="D98" s="266"/>
      <c r="E98" s="254">
        <f>F98</f>
        <v>1.4000017980932391</v>
      </c>
      <c r="F98" s="254">
        <f>C98</f>
        <v>1.4000017980932391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1044.HK : 恒安國際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1044.HK</v>
      </c>
      <c r="D3" s="279"/>
      <c r="E3" s="87"/>
      <c r="F3" s="3" t="s">
        <v>1</v>
      </c>
      <c r="G3" s="132">
        <v>22.8</v>
      </c>
      <c r="H3" s="134" t="s">
        <v>268</v>
      </c>
    </row>
    <row r="4" spans="1:10" ht="15.75" customHeight="1" x14ac:dyDescent="0.4">
      <c r="B4" s="35" t="s">
        <v>195</v>
      </c>
      <c r="C4" s="280" t="str">
        <f>Inputs!C5</f>
        <v>恒安國際</v>
      </c>
      <c r="D4" s="281"/>
      <c r="E4" s="87"/>
      <c r="F4" s="3" t="s">
        <v>2</v>
      </c>
      <c r="G4" s="284">
        <f>Inputs!C10</f>
        <v>1162120917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45637</v>
      </c>
      <c r="D5" s="283"/>
      <c r="E5" s="34"/>
      <c r="F5" s="35" t="s">
        <v>99</v>
      </c>
      <c r="G5" s="276">
        <f>G3*G4/1000000</f>
        <v>26496.356907600002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CNY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0.66296240447635002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0.21326576274860384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11.224439157045458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0.73740377562441695</v>
      </c>
    </row>
    <row r="26" spans="1:8" ht="15.75" customHeight="1" x14ac:dyDescent="0.4">
      <c r="B26" s="138" t="s">
        <v>173</v>
      </c>
      <c r="C26" s="171">
        <f>Fin_Analysis!I83</f>
        <v>0.12377183277504618</v>
      </c>
      <c r="F26" s="141" t="s">
        <v>193</v>
      </c>
      <c r="G26" s="178">
        <f>Fin_Analysis!H88*Exchange_Rate/G3</f>
        <v>6.5696269123750081E-2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21.740323991579888</v>
      </c>
      <c r="D29" s="129">
        <f>G29*(1+G20)</f>
        <v>40.170780717645975</v>
      </c>
      <c r="E29" s="87"/>
      <c r="F29" s="131">
        <f>IF(Fin_Analysis!C108="Profit",Fin_Analysis!F100,IF(Fin_Analysis!C108="Dividend",Fin_Analysis!F103,Fin_Analysis!F106))</f>
        <v>25.576851754799868</v>
      </c>
      <c r="G29" s="275">
        <f>IF(Fin_Analysis!C108="Profit",Fin_Analysis!I100,IF(Fin_Analysis!C108="Dividend",Fin_Analysis!I103,Fin_Analysis!I106))</f>
        <v>34.93111366751824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2941801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23767936</v>
      </c>
      <c r="D6" s="200">
        <f>IF(Inputs!D25="","",Inputs!D25)</f>
        <v>22615878</v>
      </c>
      <c r="E6" s="200">
        <f>IF(Inputs!E25="","",Inputs!E25)</f>
        <v>20790144</v>
      </c>
      <c r="F6" s="200">
        <f>IF(Inputs!F25="","",Inputs!F25)</f>
        <v>22374001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5.0940228807389243E-2</v>
      </c>
      <c r="D7" s="92">
        <f t="shared" si="1"/>
        <v>8.7817284959642361E-2</v>
      </c>
      <c r="E7" s="92">
        <f t="shared" si="1"/>
        <v>-7.0790065665948587E-2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15757248</v>
      </c>
      <c r="D8" s="199">
        <f>IF(Inputs!D26="","",Inputs!D26)</f>
        <v>14926379</v>
      </c>
      <c r="E8" s="199">
        <f>IF(Inputs!E26="","",Inputs!E26)</f>
        <v>13017826</v>
      </c>
      <c r="F8" s="199">
        <f>IF(Inputs!F26="","",Inputs!F26)</f>
        <v>12918146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8010688</v>
      </c>
      <c r="D9" s="151">
        <f t="shared" si="2"/>
        <v>7689499</v>
      </c>
      <c r="E9" s="151">
        <f t="shared" si="2"/>
        <v>7772318</v>
      </c>
      <c r="F9" s="151">
        <f t="shared" si="2"/>
        <v>9455855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5068887</v>
      </c>
      <c r="D10" s="199">
        <f>IF(Inputs!D27="","",Inputs!D27)</f>
        <v>4888813</v>
      </c>
      <c r="E10" s="199">
        <f>IF(Inputs!E27="","",Inputs!E27)</f>
        <v>4526293</v>
      </c>
      <c r="F10" s="199">
        <f>IF(Inputs!F27="","",Inputs!F27)</f>
        <v>4832922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0.12377183277504618</v>
      </c>
      <c r="D13" s="229">
        <f t="shared" si="3"/>
        <v>0.12383715547103677</v>
      </c>
      <c r="E13" s="229">
        <f t="shared" si="3"/>
        <v>0.15613287719411659</v>
      </c>
      <c r="F13" s="229">
        <f t="shared" si="3"/>
        <v>0.20662075593900259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2941801</v>
      </c>
      <c r="D14" s="230">
        <f t="shared" ref="D14:M14" si="4">IF(D6="","",D9-D10-MAX(D11,0)-MAX(D12,0))</f>
        <v>2800686</v>
      </c>
      <c r="E14" s="230">
        <f t="shared" si="4"/>
        <v>3246025</v>
      </c>
      <c r="F14" s="230">
        <f t="shared" si="4"/>
        <v>4622933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5.0385869747626121E-2</v>
      </c>
      <c r="D15" s="232">
        <f t="shared" ref="D15:M15" si="5">IF(E14="","",IF(ABS(D14+E14)=ABS(D14)+ABS(E14),IF(D14&lt;0,-1,1)*(D14-E14)/E14,"Turn"))</f>
        <v>-0.13719518487996857</v>
      </c>
      <c r="E15" s="232">
        <f t="shared" si="5"/>
        <v>-0.2978429494868301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2941801</v>
      </c>
      <c r="D22" s="161">
        <f t="shared" ref="D22:M22" si="8">IF(D6="","",D14-MAX(D16,0)-MAX(D17,0)-ABS(MAX(D21,0)-MAX(D19,0)))</f>
        <v>2800686</v>
      </c>
      <c r="E22" s="161">
        <f t="shared" si="8"/>
        <v>3246025</v>
      </c>
      <c r="F22" s="161">
        <f t="shared" si="8"/>
        <v>4622933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9.2828874581284637E-2</v>
      </c>
      <c r="D23" s="153">
        <f t="shared" si="9"/>
        <v>9.287786660327757E-2</v>
      </c>
      <c r="E23" s="153">
        <f t="shared" si="9"/>
        <v>0.11709965789558745</v>
      </c>
      <c r="F23" s="153">
        <f t="shared" si="9"/>
        <v>0.15496556695425195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2206350.75</v>
      </c>
      <c r="D24" s="77">
        <f>IF(D6="","",D22*(1-Fin_Analysis!$I$84))</f>
        <v>2100514.5</v>
      </c>
      <c r="E24" s="77">
        <f>IF(E6="","",E22*(1-Fin_Analysis!$I$84))</f>
        <v>2434518.75</v>
      </c>
      <c r="F24" s="77">
        <f>IF(F6="","",F22*(1-Fin_Analysis!$I$84))</f>
        <v>3467199.75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5.0385869747626121E-2</v>
      </c>
      <c r="D25" s="233">
        <f t="shared" ref="D25:M25" si="10">IF(E24="","",IF(ABS(D24+E24)=ABS(D24)+ABS(E24),IF(D24&lt;0,-1,1)*(D24-E24)/E24,"Turn"))</f>
        <v>-0.13719518487996857</v>
      </c>
      <c r="E25" s="233">
        <f t="shared" si="10"/>
        <v>-0.2978429494868301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0.66296240447635002</v>
      </c>
      <c r="D42" s="156">
        <f t="shared" si="34"/>
        <v>0.65999555710373037</v>
      </c>
      <c r="E42" s="156">
        <f t="shared" si="34"/>
        <v>0.62615371976259515</v>
      </c>
      <c r="F42" s="156">
        <f t="shared" si="34"/>
        <v>0.57737308584191094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0.21326576274860384</v>
      </c>
      <c r="D43" s="153">
        <f t="shared" si="35"/>
        <v>0.21616728742523283</v>
      </c>
      <c r="E43" s="153">
        <f t="shared" si="35"/>
        <v>0.21771340304328821</v>
      </c>
      <c r="F43" s="153">
        <f t="shared" si="35"/>
        <v>0.21600615821908653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0.12377183277504618</v>
      </c>
      <c r="D48" s="153">
        <f t="shared" si="40"/>
        <v>0.12383715547103677</v>
      </c>
      <c r="E48" s="153">
        <f t="shared" si="40"/>
        <v>0.15613287719411659</v>
      </c>
      <c r="F48" s="153">
        <f t="shared" si="40"/>
        <v>0.20662075593900259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23767936</v>
      </c>
      <c r="D74" s="209"/>
      <c r="E74" s="238">
        <f>Inputs!E91</f>
        <v>23767936</v>
      </c>
      <c r="F74" s="209"/>
      <c r="H74" s="238">
        <f>Inputs!F91</f>
        <v>23767936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15757248</v>
      </c>
      <c r="D75" s="159">
        <f>C75/$C$74</f>
        <v>0.66296240447635002</v>
      </c>
      <c r="E75" s="238">
        <f>Inputs!E92</f>
        <v>15757248</v>
      </c>
      <c r="F75" s="160">
        <f>E75/E74</f>
        <v>0.66296240447635002</v>
      </c>
      <c r="H75" s="238">
        <f>Inputs!F92</f>
        <v>15757248</v>
      </c>
      <c r="I75" s="160">
        <f>H75/$H$74</f>
        <v>0.66296240447635002</v>
      </c>
      <c r="K75" s="24"/>
    </row>
    <row r="76" spans="1:11" ht="15" customHeight="1" x14ac:dyDescent="0.4">
      <c r="B76" s="35" t="s">
        <v>95</v>
      </c>
      <c r="C76" s="161">
        <f>C74-C75</f>
        <v>8010688</v>
      </c>
      <c r="D76" s="210"/>
      <c r="E76" s="162">
        <f>E74-E75</f>
        <v>8010688</v>
      </c>
      <c r="F76" s="210"/>
      <c r="H76" s="162">
        <f>H74-H75</f>
        <v>8010688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5068887</v>
      </c>
      <c r="D77" s="159">
        <f>C77/$C$74</f>
        <v>0.21326576274860384</v>
      </c>
      <c r="E77" s="238">
        <f>Inputs!E93</f>
        <v>5068887</v>
      </c>
      <c r="F77" s="160">
        <f>E77/E74</f>
        <v>0.21326576274860384</v>
      </c>
      <c r="H77" s="238">
        <f>Inputs!F93</f>
        <v>5068887</v>
      </c>
      <c r="I77" s="160">
        <f>H77/$H$74</f>
        <v>0.21326576274860384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2941801</v>
      </c>
      <c r="D79" s="258">
        <f>C79/C74</f>
        <v>0.12377183277504618</v>
      </c>
      <c r="E79" s="259">
        <f>E76-E77-E78</f>
        <v>2941801</v>
      </c>
      <c r="F79" s="258">
        <f>E79/E74</f>
        <v>0.12377183277504618</v>
      </c>
      <c r="G79" s="260"/>
      <c r="H79" s="259">
        <f>H76-H77-H78</f>
        <v>2941801</v>
      </c>
      <c r="I79" s="258">
        <f>H79/H74</f>
        <v>0.12377183277504618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2941801</v>
      </c>
      <c r="D83" s="164">
        <f>C83/$C$74</f>
        <v>0.12377183277504618</v>
      </c>
      <c r="E83" s="165">
        <f>E79-E81-E82-E80</f>
        <v>2941801</v>
      </c>
      <c r="F83" s="164">
        <f>E83/E74</f>
        <v>0.12377183277504618</v>
      </c>
      <c r="H83" s="165">
        <f>H79-H81-H82-H80</f>
        <v>2941801</v>
      </c>
      <c r="I83" s="164">
        <f>H83/$H$74</f>
        <v>0.12377183277504618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2206350.75</v>
      </c>
      <c r="D85" s="258">
        <f>C85/$C$74</f>
        <v>9.2828874581284637E-2</v>
      </c>
      <c r="E85" s="264">
        <f>E83*(1-F84)</f>
        <v>2206350.75</v>
      </c>
      <c r="F85" s="258">
        <f>E85/E74</f>
        <v>9.2828874581284637E-2</v>
      </c>
      <c r="G85" s="260"/>
      <c r="H85" s="264">
        <f>H83*(1-I84)</f>
        <v>2206350.75</v>
      </c>
      <c r="I85" s="258">
        <f>H85/$H$74</f>
        <v>9.2828874581284637E-2</v>
      </c>
      <c r="K85" s="24"/>
    </row>
    <row r="86" spans="1:11" ht="15" customHeight="1" x14ac:dyDescent="0.4">
      <c r="B86" s="87" t="s">
        <v>160</v>
      </c>
      <c r="C86" s="167">
        <f>C85*Data!C4/Common_Shares</f>
        <v>1.8985552344205847</v>
      </c>
      <c r="D86" s="209"/>
      <c r="E86" s="168">
        <f>E85*Data!C4/Common_Shares</f>
        <v>1.8985552344205847</v>
      </c>
      <c r="F86" s="209"/>
      <c r="H86" s="168">
        <f>H85*Data!C4/Common_Shares</f>
        <v>1.8985552344205847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8.9091311023082251E-2</v>
      </c>
      <c r="D87" s="209"/>
      <c r="E87" s="262">
        <f>E86*Exchange_Rate/Dashboard!G3</f>
        <v>8.9091311023082251E-2</v>
      </c>
      <c r="F87" s="209"/>
      <c r="H87" s="262">
        <f>H86*Exchange_Rate/Dashboard!G3</f>
        <v>8.9091311023082251E-2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1.4000017980932391</v>
      </c>
      <c r="D88" s="166">
        <f>C88/C86</f>
        <v>0.73740377562441695</v>
      </c>
      <c r="E88" s="170">
        <f>Inputs!E98</f>
        <v>1.4000017980932391</v>
      </c>
      <c r="F88" s="166">
        <f>E88/E86</f>
        <v>0.73740377562441695</v>
      </c>
      <c r="H88" s="170">
        <f>Inputs!F98</f>
        <v>1.4000017980932391</v>
      </c>
      <c r="I88" s="166">
        <f>H88/H86</f>
        <v>0.73740377562441695</v>
      </c>
      <c r="K88" s="24"/>
    </row>
    <row r="89" spans="1:11" ht="15" customHeight="1" x14ac:dyDescent="0.4">
      <c r="B89" s="87" t="s">
        <v>221</v>
      </c>
      <c r="C89" s="261">
        <f>C88*Exchange_Rate/Dashboard!G3</f>
        <v>6.5696269123750081E-2</v>
      </c>
      <c r="D89" s="209"/>
      <c r="E89" s="261">
        <f>E88*Exchange_Rate/Dashboard!G3</f>
        <v>6.5696269123750081E-2</v>
      </c>
      <c r="F89" s="209"/>
      <c r="H89" s="261">
        <f>H88*Exchange_Rate/Dashboard!G3</f>
        <v>6.5696269123750081E-2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51.444184610638686</v>
      </c>
      <c r="H93" s="87" t="s">
        <v>209</v>
      </c>
      <c r="I93" s="144">
        <f>FV(H87,D93,0,-(H86/(C93-D94)))*Exchange_Rate</f>
        <v>51.444184610638686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34.031994780943165</v>
      </c>
      <c r="H94" s="87" t="s">
        <v>210</v>
      </c>
      <c r="I94" s="144">
        <f>FV(H89,D93,0,-(H88/(C93-D94)))*Exchange_Rate</f>
        <v>34.031994780943165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29723394.415261082</v>
      </c>
      <c r="D97" s="213"/>
      <c r="E97" s="123">
        <f>PV(C94,D93,0,-F93)</f>
        <v>25.576851754799868</v>
      </c>
      <c r="F97" s="213"/>
      <c r="H97" s="123">
        <f>PV(C94,D93,0,-I93)</f>
        <v>25.576851754799868</v>
      </c>
      <c r="I97" s="123">
        <f>PV(C93,D93,0,-I93)</f>
        <v>34.93111366751824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29723394.415261082</v>
      </c>
      <c r="D100" s="109">
        <f>MIN(F100*(1-C94),E100)</f>
        <v>21.740323991579888</v>
      </c>
      <c r="E100" s="109">
        <f>MAX(E97+H98+E99,0)</f>
        <v>25.576851754799868</v>
      </c>
      <c r="F100" s="109">
        <f>(E100+H100)/2</f>
        <v>25.576851754799868</v>
      </c>
      <c r="H100" s="109">
        <f>MAX(C100*Data!$C$4/Common_Shares,0)</f>
        <v>25.576851754799868</v>
      </c>
      <c r="I100" s="109">
        <f>MAX(I97+H98+H99,0)</f>
        <v>34.93111366751824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19662988.368230294</v>
      </c>
      <c r="D103" s="109">
        <f>MIN(F103*(1-C94),E103)</f>
        <v>14.381928651746099</v>
      </c>
      <c r="E103" s="123">
        <f>PV(C94,D93,0,-F94)</f>
        <v>16.919916060877764</v>
      </c>
      <c r="F103" s="109">
        <f>(E103+H103)/2</f>
        <v>16.919916060877764</v>
      </c>
      <c r="H103" s="123">
        <f>PV(C94,D93,0,-I94)</f>
        <v>16.919916060877764</v>
      </c>
      <c r="I103" s="109">
        <f>PV(C93,D93,0,-I94)</f>
        <v>23.108063370483936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24693191.391745687</v>
      </c>
      <c r="D106" s="109">
        <f>(D100+D103)/2</f>
        <v>18.061126321662993</v>
      </c>
      <c r="E106" s="123">
        <f>(E100+E103)/2</f>
        <v>21.248383907838814</v>
      </c>
      <c r="F106" s="109">
        <f>(F100+F103)/2</f>
        <v>21.248383907838814</v>
      </c>
      <c r="H106" s="123">
        <f>(H100+H103)/2</f>
        <v>21.248383907838814</v>
      </c>
      <c r="I106" s="123">
        <f>(I100+I103)/2</f>
        <v>29.01958851900109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2024-12-11T10:05:14Z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