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2A7C48-9B64-487A-8CE8-FBAD7077F3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3" i="4" s="1"/>
  <c r="D93" i="3"/>
  <c r="F96" i="4" l="1"/>
  <c r="F95" i="4"/>
  <c r="F97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<sst xmlns="http://schemas.openxmlformats.org/spreadsheetml/2006/main" count="404" uniqueCount="287">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</sst>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18208334222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116484</v>
      </c>
      <c r="D25" s="80">
        <v>67950</v>
      </c>
      <c r="E25" s="80">
        <v>52976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3771</v>
      </c>
      <c r="D26" s="82">
        <v>3354</v>
      </c>
      <c r="E26" s="82">
        <v>3691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32070</v>
      </c>
      <c r="D27" s="82">
        <v>32701</v>
      </c>
      <c r="E27" s="82">
        <v>34620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65072</v>
      </c>
      <c r="D29" s="82">
        <v>22449</v>
      </c>
      <c r="E29" s="82">
        <v>9699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2127</v>
      </c>
      <c r="D30" s="82">
        <v>1822</v>
      </c>
      <c r="E30" s="82">
        <v>2079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2784589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190414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7121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8.4672194507950577E-2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116484</v>
      </c>
      <c r="D91" s="103"/>
      <c r="E91" s="104">
        <f>C91</f>
        <v>116484</v>
      </c>
      <c r="F91" s="104">
        <f>C91</f>
        <v>116484</v>
      </c>
    </row>
    <row r="92" spans="2:8" x14ac:dyDescent="0.35">
      <c r="B92" s="105" t="s">
        <v>97</v>
      </c>
      <c r="C92" s="102">
        <f>C26</f>
        <v>3771</v>
      </c>
      <c r="D92" s="106">
        <f>C92/C91</f>
        <v>3.237354486453075E-2</v>
      </c>
      <c r="E92" s="107">
        <f>E91*D92</f>
        <v>3771</v>
      </c>
      <c r="F92" s="107">
        <f>F91*D92</f>
        <v>3771</v>
      </c>
    </row>
    <row r="93" spans="2:8" x14ac:dyDescent="0.35">
      <c r="B93" s="105" t="s">
        <v>217</v>
      </c>
      <c r="C93" s="102">
        <f>C27+C28</f>
        <v>32070</v>
      </c>
      <c r="D93" s="106">
        <f>C93/C91</f>
        <v>0.27531678170392498</v>
      </c>
      <c r="E93" s="107">
        <f>E91*D93</f>
        <v>32069.999999999996</v>
      </c>
      <c r="F93" s="107">
        <f>F91*D93</f>
        <v>32069.999999999996</v>
      </c>
    </row>
    <row r="94" spans="2:8" x14ac:dyDescent="0.35">
      <c r="B94" s="105" t="s">
        <v>223</v>
      </c>
      <c r="C94" s="102">
        <f>C29</f>
        <v>65072</v>
      </c>
      <c r="D94" s="106">
        <f>C94/C91</f>
        <v>0.55863466227121317</v>
      </c>
      <c r="E94" s="108"/>
      <c r="F94" s="107">
        <f>F91*D94</f>
        <v>65071.999999999993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2780.3921568627452</v>
      </c>
      <c r="D97" s="106">
        <f>C97/C91</f>
        <v>2.3869305285384647E-2</v>
      </c>
      <c r="E97" s="108"/>
      <c r="F97" s="107">
        <f>F91*D97</f>
        <v>2780.3921568627452</v>
      </c>
    </row>
    <row r="98" spans="2:6" x14ac:dyDescent="0.35">
      <c r="B98" s="8" t="s">
        <v>182</v>
      </c>
      <c r="C98" s="109">
        <f>C44</f>
        <v>0.82</v>
      </c>
      <c r="D98" s="110"/>
      <c r="E98" s="111">
        <f>F98</f>
        <v>0.61</v>
      </c>
      <c r="F98" s="111">
        <v>0.61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0005.HK : HSBC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0005.HK</v>
      </c>
      <c r="D3" s="316"/>
      <c r="E3" s="3"/>
      <c r="F3" s="9" t="s">
        <v>1</v>
      </c>
      <c r="G3" s="10">
        <v>75.2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HSBC</v>
      </c>
      <c r="D4" s="318"/>
      <c r="E4" s="3"/>
      <c r="F4" s="9" t="s">
        <v>2</v>
      </c>
      <c r="G4" s="321">
        <f>Inputs!C10</f>
        <v>18208334222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1369266.7334944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0.42479858937950304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0.66844036814615959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3.9154246231012206E-2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16.230859880082708</v>
      </c>
      <c r="F23" s="39" t="s">
        <v>165</v>
      </c>
      <c r="G23" s="40">
        <f>G3/(Data!C34*Data!C4/Common_Shares*Exchange_Rate)</f>
        <v>0.92607119676378091</v>
      </c>
    </row>
    <row r="24" spans="1:8" ht="15.75" customHeight="1" x14ac:dyDescent="0.35">
      <c r="B24" s="41" t="s">
        <v>240</v>
      </c>
      <c r="C24" s="42">
        <f>Fin_Analysis!I81</f>
        <v>0.55863466227121317</v>
      </c>
      <c r="F24" s="39" t="s">
        <v>225</v>
      </c>
      <c r="G24" s="43">
        <f>G3/(Fin_Analysis!H86*G7)</f>
        <v>18.021487464053067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1.1351347854221043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6.2987852012012013E-2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44.811978426613351</v>
      </c>
      <c r="D29" s="54">
        <f>G29*(1+G20)</f>
        <v>82.753654444069923</v>
      </c>
      <c r="E29" s="3"/>
      <c r="F29" s="55">
        <f>IF(Fin_Analysis!C108="Profit",Fin_Analysis!F100,IF(Fin_Analysis!C108="Dividend",Fin_Analysis!F103,Fin_Analysis!F106))</f>
        <v>52.71997461954512</v>
      </c>
      <c r="G29" s="312">
        <f>IF(Fin_Analysis!C108="Profit",Fin_Analysis!I100,IF(Fin_Analysis!C108="Dividend",Fin_Analysis!I103,Fin_Analysis!I106))</f>
        <v>71.959699516582546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77862.607843137259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116484</v>
      </c>
      <c r="D6" s="147">
        <f>IF(Inputs!D25="","",Inputs!D25)</f>
        <v>67950</v>
      </c>
      <c r="E6" s="147">
        <f>IF(Inputs!E25="","",Inputs!E25)</f>
        <v>52976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0.71426048565121403</v>
      </c>
      <c r="D7" s="148">
        <f t="shared" si="1"/>
        <v>0.28265629719118102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3771</v>
      </c>
      <c r="D8" s="149">
        <f>IF(Inputs!D26="","",Inputs!D26)</f>
        <v>3354</v>
      </c>
      <c r="E8" s="149">
        <f>IF(Inputs!E26="","",Inputs!E26)</f>
        <v>3691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112713</v>
      </c>
      <c r="D9" s="279">
        <f t="shared" si="2"/>
        <v>64596</v>
      </c>
      <c r="E9" s="279">
        <f t="shared" si="2"/>
        <v>49285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32070</v>
      </c>
      <c r="D10" s="149">
        <f>IF(Inputs!D27="","",Inputs!D27)</f>
        <v>32701</v>
      </c>
      <c r="E10" s="149">
        <f>IF(Inputs!E27="","",Inputs!E27)</f>
        <v>34620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2780.3921568627452</v>
      </c>
      <c r="D12" s="149">
        <f>IF(Inputs!D30="","",MAX(Inputs!D30,0)/(1-Fin_Analysis!$I$84))</f>
        <v>2381.6993464052289</v>
      </c>
      <c r="E12" s="149">
        <f>IF(Inputs!E30="","",MAX(Inputs!E30,0)/(1-Fin_Analysis!$I$84))</f>
        <v>2717.6470588235293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0.66844036814615959</v>
      </c>
      <c r="D13" s="300">
        <f t="shared" si="3"/>
        <v>0.43433849379830419</v>
      </c>
      <c r="E13" s="300">
        <f t="shared" si="3"/>
        <v>0.22552387762716081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77862.607843137259</v>
      </c>
      <c r="D14" s="302">
        <f t="shared" ref="D14:M14" si="4">IF(D6="","",D9-D10-MAX(D11,0)-MAX(D12,0))</f>
        <v>29513.300653594772</v>
      </c>
      <c r="E14" s="302">
        <f t="shared" si="4"/>
        <v>11947.35294117647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1.6382209417045821</v>
      </c>
      <c r="D15" s="304">
        <f t="shared" ref="D15:M15" si="5">IF(E14="","",IF(ABS(D14+E14)=ABS(D14)+ABS(E14),IF(D14&lt;0,-1,1)*(D14-E14)/E14,"Turn"))</f>
        <v>1.4702794668329739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65072</v>
      </c>
      <c r="D17" s="149">
        <f>IF(Inputs!D29="","",Inputs!D29)</f>
        <v>22449</v>
      </c>
      <c r="E17" s="149">
        <f>IF(Inputs!E29="","",Inputs!E29)</f>
        <v>9699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12790.607843137259</v>
      </c>
      <c r="D22" s="283">
        <f t="shared" ref="D22:M22" si="8">IF(D6="","",D14-MAX(D16,0)-MAX(D17,0)-ABS(MAX(D21,0)-MAX(D19,0)))</f>
        <v>7064.3006535947716</v>
      </c>
      <c r="E22" s="283">
        <f t="shared" si="8"/>
        <v>2248.3529411764703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8.4001364994333999E-2</v>
      </c>
      <c r="D23" s="148">
        <f t="shared" si="9"/>
        <v>7.9531861662987494E-2</v>
      </c>
      <c r="E23" s="148">
        <f t="shared" si="9"/>
        <v>3.2467343702808814E-2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9784.8150000000023</v>
      </c>
      <c r="D24" s="282">
        <f>IF(D6="","",D22*(1-Fin_Analysis!$I$84))</f>
        <v>5404.1900000000005</v>
      </c>
      <c r="E24" s="282">
        <f>IF(E6="","",E22*(1-Fin_Analysis!$I$84))</f>
        <v>1719.9899999999998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0.81059788793510246</v>
      </c>
      <c r="D25" s="152">
        <f t="shared" ref="D25:M25" si="10">IF(E24="","",IF(ABS(D24+E24)=ABS(D24)+ABS(E24),IF(D24&lt;0,-1,1)*(D24-E24)/E24,"Turn"))</f>
        <v>2.1419891976116148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2975003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2784589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190414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7121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2975003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2.6172278765143182E-2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3.237354486453075E-2</v>
      </c>
      <c r="D40" s="156">
        <f t="shared" si="34"/>
        <v>4.9359823399558501E-2</v>
      </c>
      <c r="E40" s="156">
        <f t="shared" si="34"/>
        <v>6.9673059498640888E-2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0.27531678170392498</v>
      </c>
      <c r="D41" s="151">
        <f t="shared" si="35"/>
        <v>0.48125091979396617</v>
      </c>
      <c r="E41" s="151">
        <f t="shared" si="35"/>
        <v>0.65350347327091518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0.55863466227121317</v>
      </c>
      <c r="D43" s="151">
        <f t="shared" si="37"/>
        <v>0.33037527593818983</v>
      </c>
      <c r="E43" s="151">
        <f t="shared" si="37"/>
        <v>0.18308290546662639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2.3869305285384647E-2</v>
      </c>
      <c r="D44" s="151">
        <f t="shared" si="38"/>
        <v>3.5050763008171136E-2</v>
      </c>
      <c r="E44" s="151">
        <f t="shared" si="38"/>
        <v>5.1299589603283173E-2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0.10980570587494642</v>
      </c>
      <c r="D46" s="289">
        <f t="shared" si="40"/>
        <v>0.10396321786011437</v>
      </c>
      <c r="E46" s="289">
        <f t="shared" si="40"/>
        <v>4.2440972160534399E-2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3.9154246231012206E-2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6.161103030820473E-2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5.0874830030000551</v>
      </c>
      <c r="D55" s="151">
        <f t="shared" si="47"/>
        <v>3.1778092554110788</v>
      </c>
      <c r="E55" s="151">
        <f t="shared" si="47"/>
        <v>4.3138244989796455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0.4247985893795031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6.978230397853305E-2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190414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183293</v>
      </c>
      <c r="K3" s="75"/>
    </row>
    <row r="4" spans="1:11" ht="15" customHeight="1" x14ac:dyDescent="0.35">
      <c r="B4" s="9" t="s">
        <v>21</v>
      </c>
      <c r="C4" s="3"/>
      <c r="D4" s="149">
        <f>Inputs!C42</f>
        <v>7121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-2791710</v>
      </c>
      <c r="E6" s="176">
        <f>1-D6/D3</f>
        <v>15.661264402827523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2784589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2784589</v>
      </c>
      <c r="J48" s="193"/>
    </row>
    <row r="49" spans="2:11" ht="15" customHeight="1" thickTop="1" x14ac:dyDescent="0.35">
      <c r="B49" s="9" t="s">
        <v>13</v>
      </c>
      <c r="C49" s="190">
        <f>Inputs!C41+Inputs!C37</f>
        <v>2975003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2784589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7121</v>
      </c>
      <c r="D53" s="34">
        <f>IF(E53=0, 0,E53/C53)</f>
        <v>1</v>
      </c>
      <c r="E53" s="182">
        <f>IF(C53=0,0,MAX(C53,C53*Dashboard!G23))</f>
        <v>7121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-1187.5056668680504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-1187.5056668680504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-1187.5056668680504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2975003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2784589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190414</v>
      </c>
      <c r="D70" s="34">
        <f t="shared" si="2"/>
        <v>-14.623866942556745</v>
      </c>
      <c r="E70" s="208">
        <f>E68-E69</f>
        <v>-2784589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116484</v>
      </c>
      <c r="D74" s="103"/>
      <c r="E74" s="262">
        <f>Inputs!E91</f>
        <v>116484</v>
      </c>
      <c r="F74" s="103"/>
      <c r="H74" s="262">
        <f>Inputs!F91</f>
        <v>116484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3771</v>
      </c>
      <c r="D75" s="106">
        <f>C75/$C$74</f>
        <v>3.237354486453075E-2</v>
      </c>
      <c r="E75" s="262">
        <f>Inputs!E92</f>
        <v>3771</v>
      </c>
      <c r="F75" s="217">
        <f>E75/E74</f>
        <v>3.237354486453075E-2</v>
      </c>
      <c r="H75" s="262">
        <f>Inputs!F92</f>
        <v>3771</v>
      </c>
      <c r="I75" s="217">
        <f>H75/$H$74</f>
        <v>3.237354486453075E-2</v>
      </c>
      <c r="K75" s="75"/>
    </row>
    <row r="76" spans="1:11" ht="15" customHeight="1" x14ac:dyDescent="0.35">
      <c r="B76" s="12" t="s">
        <v>87</v>
      </c>
      <c r="C76" s="150">
        <f>C74-C75</f>
        <v>112713</v>
      </c>
      <c r="D76" s="218"/>
      <c r="E76" s="219">
        <f>E74-E75</f>
        <v>112713</v>
      </c>
      <c r="F76" s="218"/>
      <c r="H76" s="219">
        <f>H74-H75</f>
        <v>112713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32070</v>
      </c>
      <c r="D77" s="106">
        <f>C77/$C$74</f>
        <v>0.27531678170392498</v>
      </c>
      <c r="E77" s="262">
        <f>Inputs!E93</f>
        <v>32069.999999999996</v>
      </c>
      <c r="F77" s="217">
        <f>E77/E74</f>
        <v>0.27531678170392498</v>
      </c>
      <c r="H77" s="262">
        <f>Inputs!F93</f>
        <v>32069.999999999996</v>
      </c>
      <c r="I77" s="217">
        <f>H77/$H$74</f>
        <v>0.27531678170392498</v>
      </c>
      <c r="K77" s="75"/>
    </row>
    <row r="78" spans="1:11" ht="15" customHeight="1" x14ac:dyDescent="0.35">
      <c r="B78" s="98" t="s">
        <v>152</v>
      </c>
      <c r="C78" s="102">
        <f>MAX(Data!C12,0)</f>
        <v>2780.3921568627452</v>
      </c>
      <c r="D78" s="106">
        <f>C78/$C$74</f>
        <v>2.3869305285384647E-2</v>
      </c>
      <c r="E78" s="220">
        <f>E74*F78</f>
        <v>2780.3921568627452</v>
      </c>
      <c r="F78" s="217">
        <f>I78</f>
        <v>2.3869305285384647E-2</v>
      </c>
      <c r="H78" s="262">
        <f>Inputs!F97</f>
        <v>2780.3921568627452</v>
      </c>
      <c r="I78" s="217">
        <f>H78/$H$74</f>
        <v>2.3869305285384647E-2</v>
      </c>
      <c r="K78" s="75"/>
    </row>
    <row r="79" spans="1:11" ht="15" customHeight="1" x14ac:dyDescent="0.35">
      <c r="B79" s="221" t="s">
        <v>205</v>
      </c>
      <c r="C79" s="222">
        <f>C76-C77-C78</f>
        <v>77862.607843137259</v>
      </c>
      <c r="D79" s="223">
        <f>C79/C74</f>
        <v>0.66844036814615959</v>
      </c>
      <c r="E79" s="224">
        <f>E76-E77-E78</f>
        <v>77862.607843137259</v>
      </c>
      <c r="F79" s="223">
        <f>E79/E74</f>
        <v>0.66844036814615959</v>
      </c>
      <c r="G79" s="225"/>
      <c r="H79" s="224">
        <f>H76-H77-H78</f>
        <v>77862.607843137259</v>
      </c>
      <c r="I79" s="223">
        <f>H79/H74</f>
        <v>0.66844036814615959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65072</v>
      </c>
      <c r="D81" s="106">
        <f>C81/$C$74</f>
        <v>0.55863466227121317</v>
      </c>
      <c r="E81" s="220">
        <f>E74*F81</f>
        <v>65071.999999999993</v>
      </c>
      <c r="F81" s="217">
        <f>I81</f>
        <v>0.55863466227121317</v>
      </c>
      <c r="H81" s="262">
        <f>Inputs!F94</f>
        <v>65071.999999999993</v>
      </c>
      <c r="I81" s="217">
        <f>H81/$H$74</f>
        <v>0.55863466227121317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12790.607843137259</v>
      </c>
      <c r="D83" s="229">
        <f>C83/$C$74</f>
        <v>0.10980570587494642</v>
      </c>
      <c r="E83" s="230">
        <f>E79-E81-E82-E80</f>
        <v>12790.607843137266</v>
      </c>
      <c r="F83" s="229">
        <f>E83/E74</f>
        <v>0.10980570587494648</v>
      </c>
      <c r="H83" s="230">
        <f>H79-H81-H82-H80</f>
        <v>12790.607843137266</v>
      </c>
      <c r="I83" s="229">
        <f>H83/$H$74</f>
        <v>0.10980570587494648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9784.8150000000023</v>
      </c>
      <c r="D85" s="223">
        <f>C85/$C$74</f>
        <v>8.4001364994333999E-2</v>
      </c>
      <c r="E85" s="235">
        <f>E83*(1-F84)</f>
        <v>9784.8150000000096</v>
      </c>
      <c r="F85" s="223">
        <f>E85/E74</f>
        <v>8.4001364994334068E-2</v>
      </c>
      <c r="G85" s="225"/>
      <c r="H85" s="235">
        <f>H83*(1-I84)</f>
        <v>9784.8150000000096</v>
      </c>
      <c r="I85" s="223">
        <f>H85/$H$74</f>
        <v>8.4001364994334068E-2</v>
      </c>
      <c r="K85" s="75"/>
    </row>
    <row r="86" spans="1:11" ht="15" customHeight="1" x14ac:dyDescent="0.35">
      <c r="B86" s="3" t="s">
        <v>145</v>
      </c>
      <c r="C86" s="236">
        <f>C85*Data!C4/Common_Shares</f>
        <v>0.53738111793761001</v>
      </c>
      <c r="D86" s="103"/>
      <c r="E86" s="237">
        <f>E85*Data!C4/Common_Shares</f>
        <v>0.53738111793761045</v>
      </c>
      <c r="F86" s="103"/>
      <c r="H86" s="237">
        <f>H85*Data!C4/Common_Shares</f>
        <v>0.53738111793761045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5.5489315296235665E-2</v>
      </c>
      <c r="D87" s="103"/>
      <c r="E87" s="239">
        <f>E86*Exchange_Rate/Dashboard!G3</f>
        <v>5.5489315296235707E-2</v>
      </c>
      <c r="F87" s="103"/>
      <c r="H87" s="239">
        <f>H86*Exchange_Rate/Dashboard!G3</f>
        <v>5.5489315296235707E-2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0.82</v>
      </c>
      <c r="D88" s="241">
        <f>C88/C86</f>
        <v>1.5259188918788955</v>
      </c>
      <c r="E88" s="261">
        <f>Inputs!E98</f>
        <v>0.61</v>
      </c>
      <c r="F88" s="241">
        <f>E88/E86</f>
        <v>1.1351347854221043</v>
      </c>
      <c r="H88" s="261">
        <f>Inputs!F98</f>
        <v>0.61</v>
      </c>
      <c r="I88" s="241">
        <f>H88/H86</f>
        <v>1.1351347854221043</v>
      </c>
      <c r="K88" s="75"/>
    </row>
    <row r="89" spans="1:11" ht="15" customHeight="1" x14ac:dyDescent="0.35">
      <c r="B89" s="3" t="s">
        <v>195</v>
      </c>
      <c r="C89" s="238">
        <f>C88*Exchange_Rate/Dashboard!G3</f>
        <v>8.4672194507950577E-2</v>
      </c>
      <c r="D89" s="103"/>
      <c r="E89" s="238">
        <f>E88*Exchange_Rate/Dashboard!G3</f>
        <v>6.2987852012012013E-2</v>
      </c>
      <c r="F89" s="103"/>
      <c r="H89" s="238">
        <f>H88*Exchange_Rate/Dashboard!G3</f>
        <v>6.2987852012012013E-2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90.166385705045599</v>
      </c>
      <c r="H93" s="3" t="s">
        <v>184</v>
      </c>
      <c r="I93" s="243">
        <f>FV(H87,D93,0,-(H86/(C93-D94)))*Exchange_Rate</f>
        <v>90.166385705045599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106.03869987583963</v>
      </c>
      <c r="H94" s="3" t="s">
        <v>185</v>
      </c>
      <c r="I94" s="243">
        <f>FV(H89,D93,0,-(H88/(C93-D94)))*Exchange_Rate</f>
        <v>106.03869987583963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816254.66461671621</v>
      </c>
      <c r="D97" s="250"/>
      <c r="E97" s="251">
        <f>PV(C94,D93,0,-F93)</f>
        <v>44.828629278480967</v>
      </c>
      <c r="F97" s="250"/>
      <c r="H97" s="251">
        <f>PV(C94,D93,0,-I93)</f>
        <v>44.828629278480967</v>
      </c>
      <c r="I97" s="251">
        <f>PV(C93,D93,0,-I93)</f>
        <v>61.188472033592909</v>
      </c>
      <c r="K97" s="75"/>
    </row>
    <row r="98" spans="2:11" ht="15" customHeight="1" x14ac:dyDescent="0.35">
      <c r="B98" s="18" t="s">
        <v>134</v>
      </c>
      <c r="C98" s="249">
        <f>-E53*Exchange_Rate</f>
        <v>-55294.990757624306</v>
      </c>
      <c r="D98" s="250"/>
      <c r="E98" s="250"/>
      <c r="F98" s="250"/>
      <c r="H98" s="251">
        <f>C98*Data!$C$4/Common_Shares</f>
        <v>-3.0367956828700344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-21622500.072852451</v>
      </c>
      <c r="D99" s="254"/>
      <c r="E99" s="255">
        <f>IF(H99&gt;0,I64,H99)</f>
        <v>-1187.5056668680504</v>
      </c>
      <c r="F99" s="254"/>
      <c r="H99" s="255">
        <f>I64</f>
        <v>-1187.5056668680504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44.811978426613351</v>
      </c>
      <c r="E103" s="251">
        <f>PV(C94,D93,0,-F94)</f>
        <v>52.71997461954512</v>
      </c>
      <c r="F103" s="257">
        <f>(E103+H103)/2</f>
        <v>52.71997461954512</v>
      </c>
      <c r="H103" s="251">
        <f>PV(C94,D93,0,-I94)</f>
        <v>52.71997461954512</v>
      </c>
      <c r="I103" s="257">
        <f>PV(C93,D93,0,-I94)</f>
        <v>71.959699516582546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22.405989213306675</v>
      </c>
      <c r="E106" s="251">
        <f>(E100+E103)/2</f>
        <v>26.35998730977256</v>
      </c>
      <c r="F106" s="257">
        <f>(F100+F103)/2</f>
        <v>26.35998730977256</v>
      </c>
      <c r="H106" s="251">
        <f>(H100+H103)/2</f>
        <v>26.35998730977256</v>
      </c>
      <c r="I106" s="251">
        <f>(I100+I103)/2</f>
        <v>35.979849758291273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