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4D7A0E0A-FD6B-4E9B-8218-68ADF9D2F4A6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3" i="4"/>
  <c r="D50" i="4"/>
  <c r="D56" i="4" s="1"/>
  <c r="C44" i="4"/>
  <c r="D93" i="3"/>
  <c r="F96" i="4" l="1"/>
  <c r="E92" i="4"/>
  <c r="F97" i="4"/>
  <c r="B11" i="5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G56" i="2" l="1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<sst xmlns="http://schemas.openxmlformats.org/spreadsheetml/2006/main" count="403" uniqueCount="287">
  <si>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</si>
  <si>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</si>
  <si>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</si>
  <si>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</si>
  <si>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</si>
  <si>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</si>
  <si>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</si>
  <si>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</si>
  <si>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</si>
  <si>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</si>
  <si>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</si>
  <si>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</si>
  <si>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</si>
  <si>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</si>
  <si>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</si>
  <si>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</si>
  <si>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</si>
  <si>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</si>
  <si>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</si>
  <si>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</si>
  <si>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</si>
  <si>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</si>
  <si>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</si>
  <si>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</si>
  <si>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</si>
  <si>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</si>
  <si>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</si>
  <si>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</si>
  <si>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</si>
  <si>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</si>
  <si>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</si>
  <si>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</si>
  <si>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</si>
  <si>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</si>
  <si>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</si>
  <si>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</si>
  <si>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</si>
  <si>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</si>
  <si>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</si>
  <si>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</si>
  <si>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</si>
  <si>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</si>
  <si>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</si>
  <si>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</si>
  <si>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</si>
  <si>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</si>
  <si>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</si>
  <si>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</si>
  <si>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</si>
  <si>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</si>
  <si>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</si>
  <si>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</si>
  <si>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</si>
  <si>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</si>
  <si>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</si>
  <si>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</si>
  <si>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</si>
  <si>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</si>
  <si>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</si>
  <si>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</si>
  <si>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</si>
  <si>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</si>
  <si>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</si>
  <si>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</si>
  <si>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</si>
  <si>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</si>
  <si>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</si>
  <si>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</si>
  <si>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</si>
  <si>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</si>
  <si>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</si>
  <si>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</si>
  <si>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</si>
  <si>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</si>
  <si>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</si>
  <si>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</si>
  <si>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</si>
  <si>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</si>
  <si>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</si>
  <si>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</si>
  <si>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</si>
  <si>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</si>
  <si>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</si>
  <si>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</si>
  <si>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</si>
  <si>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</si>
  <si>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</si>
  <si>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</si>
  <si>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</si>
  <si>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</si>
  <si>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</si>
  <si>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</si>
  <si>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</si>
  <si>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</si>
  <si>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</si>
  <si>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</si>
  <si>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</si>
  <si>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</si>
  <si>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</si>
  <si>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</si>
  <si>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</si>
  <si>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</si>
  <si>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</si>
  <si>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</si>
  <si>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</si>
  <si>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</si>
  <si>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</si>
  <si>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</si>
  <si>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</si>
  <si>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</si>
  <si>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</si>
  <si>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</si>
  <si>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</si>
  <si>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</si>
  <si>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</si>
  <si>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</si>
  <si>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</si>
  <si>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</si>
  <si>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</si>
  <si>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</si>
  <si>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</si>
  <si>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</si>
  <si>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</si>
  <si>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</si>
  <si>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</si>
  <si>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</si>
  <si>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</si>
  <si>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</si>
  <si>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</si>
  <si>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</si>
  <si>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</si>
  <si>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</si>
  <si>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</si>
  <si>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</si>
  <si>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</si>
  <si>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</si>
  <si>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</si>
  <si>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</si>
  <si>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</si>
  <si>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</si>
  <si>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</si>
  <si>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</si>
  <si>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</si>
  <si>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</si>
  <si>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</si>
  <si>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</si>
  <si>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</si>
  <si>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</si>
  <si>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</si>
  <si>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</si>
  <si>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</si>
  <si>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</si>
  <si>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</si>
  <si>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</si>
  <si>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</si>
  <si>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</si>
  <si>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</si>
  <si>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</si>
  <si>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</si>
  <si>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</si>
  <si>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</si>
  <si>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</si>
  <si>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</si>
  <si>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</si>
  <si>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</si>
  <si>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</si>
  <si>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</si>
  <si>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</si>
  <si>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</si>
  <si>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</si>
  <si>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</si>
  <si>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</si>
  <si>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</si>
  <si>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</si>
  <si>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</si>
  <si>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</si>
  <si>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</si>
  <si>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</si>
  <si>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</si>
  <si>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</si>
  <si>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</si>
  <si>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</si>
  <si>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</si>
  <si>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</si>
  <si>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</si>
  <si>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</si>
  <si>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</si>
  <si>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</si>
  <si>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</si>
  <si>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</si>
  <si>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</si>
  <si>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</si>
  <si>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</si>
  <si>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</si>
  <si>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</si>
  <si>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</si>
  <si>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</si>
  <si>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</si>
  <si>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</si>
  <si>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</si>
  <si>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</si>
  <si>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</si>
  <si>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</si>
  <si>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</si>
  <si>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</si>
  <si>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</si>
  <si>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</si>
  <si>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</si>
  <si>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</si>
  <si>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</si>
  <si>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</si>
  <si>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</si>
  <si>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</si>
  <si>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</si>
  <si>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</si>
  <si>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</si>
  <si>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</si>
  <si>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</si>
  <si>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</si>
  <si>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</si>
  <si>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</si>
  <si>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</si>
  <si>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</si>
  <si>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</si>
  <si>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</si>
  <si>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</si>
  <si>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</si>
  <si>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</si>
  <si>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</si>
  <si>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</si>
  <si>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</si>
  <si>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</si>
  <si>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</si>
  <si>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</si>
  <si>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</si>
  <si>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</si>
  <si>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</si>
  <si>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</si>
  <si>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</si>
  <si>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</si>
  <si>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</si>
  <si>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</si>
  <si>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</si>
  <si>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</si>
  <si>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</si>
  <si>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</si>
  <si>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</si>
  <si>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</si>
  <si>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</si>
  <si>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</si>
  <si>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</si>
  <si>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</si>
  <si>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</si>
  <si>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</si>
  <si>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</si>
  <si>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</si>
  <si>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</si>
  <si>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</si>
  <si>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</si>
  <si>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</si>
  <si>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</si>
  <si>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</si>
  <si>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</si>
  <si>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</si>
  <si>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</si>
  <si>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</si>
  <si>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</si>
  <si>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</si>
  <si>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</si>
  <si>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</si>
  <si>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</si>
  <si>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</si>
  <si>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</si>
  <si>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</si>
  <si>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</si>
  <si>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</si>
  <si>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</si>
  <si>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Reinvest Nonop @</t>
    <phoneticPr fontId="3" type="noConversion"/>
  </si>
  <si>
    <t>PlaceHolder_5</t>
    <phoneticPr fontId="3" type="noConversion"/>
  </si>
  <si>
    <t>0069.HK</t>
  </si>
  <si>
    <t>SHANGRI-LA ASIA</t>
  </si>
  <si>
    <t>C0011</t>
  </si>
  <si>
    <t>USD</t>
  </si>
  <si>
    <t>Strongly agree</t>
  </si>
  <si>
    <t>disagree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</si>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</sst>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279</v>
      </c>
    </row>
    <row r="5" spans="1:5" x14ac:dyDescent="0.35">
      <c r="B5" s="46" t="s">
        <v>170</v>
      </c>
      <c r="C5" s="67" t="s">
        <v>280</v>
      </c>
    </row>
    <row r="6" spans="1:5" x14ac:dyDescent="0.35">
      <c r="B6" s="46" t="s">
        <v>271</v>
      </c>
      <c r="C6" s="68">
        <v>45603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63</v>
      </c>
    </row>
    <row r="9" spans="1:5" x14ac:dyDescent="0.35">
      <c r="B9" s="39" t="s">
        <v>191</v>
      </c>
      <c r="C9" s="124" t="s">
        <v>281</v>
      </c>
    </row>
    <row r="10" spans="1:5" x14ac:dyDescent="0.35">
      <c r="B10" s="39" t="s">
        <v>192</v>
      </c>
      <c r="C10" s="70">
        <v>3585525056</v>
      </c>
    </row>
    <row r="11" spans="1:5" x14ac:dyDescent="0.35">
      <c r="B11" s="39" t="s">
        <v>193</v>
      </c>
      <c r="C11" s="69" t="s">
        <v>282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166</v>
      </c>
    </row>
    <row r="16" spans="1:5" x14ac:dyDescent="0.35">
      <c r="B16" s="74" t="s">
        <v>88</v>
      </c>
      <c r="C16" s="125">
        <v>0.23499999999999999</v>
      </c>
      <c r="D16" s="75"/>
      <c r="E16" s="25" t="s">
        <v>254</v>
      </c>
    </row>
    <row r="17" spans="2:13" x14ac:dyDescent="0.35">
      <c r="B17" s="56" t="s">
        <v>198</v>
      </c>
      <c r="C17" s="126" t="s">
        <v>283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284</v>
      </c>
      <c r="D19" s="75"/>
    </row>
    <row r="20" spans="2:13" x14ac:dyDescent="0.35">
      <c r="B20" s="57" t="s">
        <v>201</v>
      </c>
      <c r="C20" s="126" t="s">
        <v>216</v>
      </c>
      <c r="D20" s="75"/>
    </row>
    <row r="21" spans="2:13" x14ac:dyDescent="0.35">
      <c r="B21" s="2" t="s">
        <v>204</v>
      </c>
      <c r="C21" s="126" t="s">
        <v>284</v>
      </c>
      <c r="D21" s="75"/>
    </row>
    <row r="22" spans="2:13" ht="69.75" x14ac:dyDescent="0.35">
      <c r="B22" s="59" t="s">
        <v>203</v>
      </c>
      <c r="C22" s="127" t="s">
        <v>285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2141790</v>
      </c>
      <c r="D25" s="80">
        <v>1462145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975048</v>
      </c>
      <c r="D26" s="82">
        <v>775627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961086</v>
      </c>
      <c r="D27" s="82">
        <v>799714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258378</v>
      </c>
      <c r="D29" s="82">
        <v>360932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17537</v>
      </c>
      <c r="D30" s="82">
        <v>-28933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(0.05+0.15)/7.8</f>
        <v>2.5641025641025644E-2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3.7637825549036934E-2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278</v>
      </c>
      <c r="C86" s="84">
        <v>5</v>
      </c>
      <c r="D86" s="305"/>
    </row>
    <row r="87" spans="2:8" x14ac:dyDescent="0.35">
      <c r="B87" s="88" t="s">
        <v>219</v>
      </c>
      <c r="C87" s="112" t="s">
        <v>286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1000USD)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2141790</v>
      </c>
      <c r="D91" s="103"/>
      <c r="E91" s="104">
        <f>C91</f>
        <v>2141790</v>
      </c>
      <c r="F91" s="104">
        <f>C91</f>
        <v>2141790</v>
      </c>
    </row>
    <row r="92" spans="2:8" x14ac:dyDescent="0.35">
      <c r="B92" s="105" t="s">
        <v>97</v>
      </c>
      <c r="C92" s="102">
        <f>C26</f>
        <v>975048</v>
      </c>
      <c r="D92" s="106">
        <f>C92/C91</f>
        <v>0.45524911405880131</v>
      </c>
      <c r="E92" s="107">
        <f>E91*D92</f>
        <v>975048</v>
      </c>
      <c r="F92" s="107">
        <f>F91*D92</f>
        <v>975048</v>
      </c>
    </row>
    <row r="93" spans="2:8" x14ac:dyDescent="0.35">
      <c r="B93" s="105" t="s">
        <v>218</v>
      </c>
      <c r="C93" s="102">
        <f>C27+C28</f>
        <v>961086</v>
      </c>
      <c r="D93" s="106">
        <f>C93/C91</f>
        <v>0.44873026767330132</v>
      </c>
      <c r="E93" s="107">
        <f>E91*D93</f>
        <v>961086</v>
      </c>
      <c r="F93" s="107">
        <f>F91*D93</f>
        <v>961086</v>
      </c>
    </row>
    <row r="94" spans="2:8" x14ac:dyDescent="0.35">
      <c r="B94" s="105" t="s">
        <v>224</v>
      </c>
      <c r="C94" s="102">
        <f>C29</f>
        <v>258378</v>
      </c>
      <c r="D94" s="106">
        <f>C94/C91</f>
        <v>0.12063647696552883</v>
      </c>
      <c r="E94" s="108"/>
      <c r="F94" s="107">
        <f>F91*D94</f>
        <v>258378</v>
      </c>
    </row>
    <row r="95" spans="2:8" x14ac:dyDescent="0.35">
      <c r="B95" s="18" t="s">
        <v>217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22924.183006535946</v>
      </c>
      <c r="D97" s="106">
        <f>C97/C91</f>
        <v>1.0703282304304319E-2</v>
      </c>
      <c r="E97" s="108"/>
      <c r="F97" s="107">
        <f>F91*D97</f>
        <v>22924.183006535946</v>
      </c>
    </row>
    <row r="98" spans="2:6" x14ac:dyDescent="0.35">
      <c r="B98" s="8" t="s">
        <v>182</v>
      </c>
      <c r="C98" s="109">
        <f>C44</f>
        <v>2.5641025641025644E-2</v>
      </c>
      <c r="D98" s="110"/>
      <c r="E98" s="111">
        <f>F98</f>
        <v>2.5641025641025644E-2</v>
      </c>
      <c r="F98" s="111">
        <f>C98</f>
        <v>2.5641025641025644E-2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0069.HK : SHANGRI-LA ASIA</v>
      </c>
      <c r="D2" s="3"/>
      <c r="E2" s="7"/>
      <c r="F2" s="7"/>
      <c r="G2" s="8"/>
      <c r="H2" s="8"/>
    </row>
    <row r="3" spans="1:10" ht="15.75" customHeight="1" x14ac:dyDescent="0.35">
      <c r="B3" s="9" t="s">
        <v>169</v>
      </c>
      <c r="C3" s="315" t="str">
        <f>Inputs!C4</f>
        <v>0069.HK</v>
      </c>
      <c r="D3" s="316"/>
      <c r="E3" s="3"/>
      <c r="F3" s="9" t="s">
        <v>1</v>
      </c>
      <c r="G3" s="10">
        <v>5.29</v>
      </c>
      <c r="H3" s="11" t="s">
        <v>259</v>
      </c>
    </row>
    <row r="4" spans="1:10" ht="15.75" customHeight="1" x14ac:dyDescent="0.35">
      <c r="B4" s="12" t="s">
        <v>170</v>
      </c>
      <c r="C4" s="317" t="str">
        <f>Inputs!C5</f>
        <v>SHANGRI-LA ASIA</v>
      </c>
      <c r="D4" s="318"/>
      <c r="E4" s="3"/>
      <c r="F4" s="9" t="s">
        <v>2</v>
      </c>
      <c r="G4" s="321">
        <f>Inputs!C10</f>
        <v>3585525056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45603</v>
      </c>
      <c r="D5" s="320"/>
      <c r="E5" s="16"/>
      <c r="F5" s="12" t="s">
        <v>91</v>
      </c>
      <c r="G5" s="313">
        <f>G3*G4/1000000</f>
        <v>18967.42754624</v>
      </c>
      <c r="H5" s="313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4" t="str">
        <f>Inputs!C11</f>
        <v>USD</v>
      </c>
      <c r="H6" s="314"/>
      <c r="I6" s="17"/>
    </row>
    <row r="7" spans="1:10" ht="15.75" customHeight="1" x14ac:dyDescent="0.35">
      <c r="B7" s="8" t="s">
        <v>167</v>
      </c>
      <c r="C7" s="128" t="str">
        <f>Inputs!C8</f>
        <v>N</v>
      </c>
      <c r="D7" s="128" t="str">
        <f>Inputs!C9</f>
        <v>C0011</v>
      </c>
      <c r="E7" s="3"/>
      <c r="F7" s="12" t="s">
        <v>5</v>
      </c>
      <c r="G7" s="21">
        <v>7.7650597890218096</v>
      </c>
      <c r="H7" s="22" t="str">
        <f>IF(G6=Dashboard!H3,H3,G6&amp;"/"&amp;Dashboard!H3)</f>
        <v>USD/HKD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HK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 t="e">
        <f>C21*C22*C23</f>
        <v>#DIV/0!</v>
      </c>
      <c r="F20" s="3" t="s">
        <v>186</v>
      </c>
      <c r="G20" s="121">
        <v>0.15</v>
      </c>
      <c r="H20" s="307">
        <v>5</v>
      </c>
    </row>
    <row r="21" spans="1:8" ht="15.75" customHeight="1" thickTop="1" x14ac:dyDescent="0.35">
      <c r="B21" s="32" t="s">
        <v>240</v>
      </c>
      <c r="C21" s="33">
        <f>Data!C13</f>
        <v>8.5317335963593088E-2</v>
      </c>
      <c r="F21" s="3"/>
      <c r="G21" s="34"/>
    </row>
    <row r="22" spans="1:8" ht="15.75" customHeight="1" x14ac:dyDescent="0.35">
      <c r="B22" s="35" t="s">
        <v>247</v>
      </c>
      <c r="C22" s="36" t="e">
        <f>Data!C48</f>
        <v>#DIV/0!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 t="e">
        <f>1/Data!C53</f>
        <v>#DIV/0!</v>
      </c>
      <c r="F23" s="39" t="s">
        <v>165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241</v>
      </c>
      <c r="C24" s="42">
        <f>Fin_Analysis!I81</f>
        <v>0.12063647696552883</v>
      </c>
      <c r="F24" s="39" t="s">
        <v>226</v>
      </c>
      <c r="G24" s="43">
        <f>G3/(Fin_Analysis!H86*G7)</f>
        <v>-42.20998283300424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-1.5886919702964573</v>
      </c>
    </row>
    <row r="26" spans="1:8" ht="15.75" customHeight="1" x14ac:dyDescent="0.35">
      <c r="B26" s="45" t="s">
        <v>243</v>
      </c>
      <c r="C26" s="44">
        <f>Fin_Analysis!I80+Fin_Analysis!I82</f>
        <v>0</v>
      </c>
      <c r="F26" s="46" t="s">
        <v>168</v>
      </c>
      <c r="G26" s="47">
        <f>Fin_Analysis!H88*Exchange_Rate/G3</f>
        <v>3.7637825549036934E-2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1" t="s">
        <v>225</v>
      </c>
      <c r="H28" s="311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1.6695027700575786</v>
      </c>
      <c r="D29" s="54">
        <f>G29*(1+G20)</f>
        <v>3.0830474390461671</v>
      </c>
      <c r="E29" s="3"/>
      <c r="F29" s="55">
        <f>IF(Fin_Analysis!C108="Profit",Fin_Analysis!F100,IF(Fin_Analysis!C108="Dividend",Fin_Analysis!F103,Fin_Analysis!F106))</f>
        <v>1.9641209059500926</v>
      </c>
      <c r="G29" s="312">
        <f>IF(Fin_Analysis!C108="Profit",Fin_Analysis!I100,IF(Fin_Analysis!C108="Dividend",Fin_Analysis!I103,Fin_Analysis!I106))</f>
        <v>2.6809108165618847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Strongly agree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disagree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unclear</v>
      </c>
    </row>
    <row r="40" spans="1:4" ht="15.75" customHeight="1" x14ac:dyDescent="0.35">
      <c r="B40" s="2" t="s">
        <v>204</v>
      </c>
      <c r="C40" s="117" t="str">
        <f>Inputs!C21</f>
        <v>disagree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182731.81699346405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</v>
      </c>
      <c r="D4" s="2" t="str">
        <f>Dashboard!G6</f>
        <v>USD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2141790</v>
      </c>
      <c r="D6" s="147">
        <f>IF(Inputs!D25="","",Inputs!D25)</f>
        <v>1462145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0.46482735980357615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975048</v>
      </c>
      <c r="D8" s="149">
        <f>IF(Inputs!D26="","",Inputs!D26)</f>
        <v>775627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1166742</v>
      </c>
      <c r="D9" s="279">
        <f t="shared" si="2"/>
        <v>686518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961086</v>
      </c>
      <c r="D10" s="149">
        <f>IF(Inputs!D27="","",Inputs!D27)</f>
        <v>799714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22924.183006535946</v>
      </c>
      <c r="D12" s="149">
        <f>IF(Inputs!D30="","",MAX(Inputs!D30,0)/(1-Fin_Analysis!$I$84))</f>
        <v>0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8.5317335963593088E-2</v>
      </c>
      <c r="D13" s="300">
        <f t="shared" si="3"/>
        <v>-7.7417766363801127E-2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182731.81699346405</v>
      </c>
      <c r="D14" s="302">
        <f t="shared" ref="D14:M14" si="4">IF(D6="","",D9-D10-MAX(D11,0)-MAX(D12,0))</f>
        <v>-113196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 t="str">
        <f>IF(D14="","",IF(ABS(C14+D14)=ABS(C14)+ABS(D14),IF(C14&lt;0,-1,1)*(C14-D14)/D14,"Turn"))</f>
        <v>Turn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258378</v>
      </c>
      <c r="D17" s="149">
        <f>IF(Inputs!D29="","",Inputs!D29)</f>
        <v>360932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-75646.183006535954</v>
      </c>
      <c r="D22" s="283">
        <f t="shared" ref="D22:M22" si="8">IF(D6="","",D14-MAX(D16,0)-MAX(D17,0)-ABS(MAX(D21,0)-MAX(D19,0)))</f>
        <v>-474128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-2.7019142866480845E-2</v>
      </c>
      <c r="D23" s="148">
        <f t="shared" si="9"/>
        <v>-0.24806562960581885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-57869.330000000009</v>
      </c>
      <c r="D24" s="282">
        <f>IF(D6="","",D22*(1-Fin_Analysis!$I$84))</f>
        <v>-362707.92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0.84045198130771448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0.45524911405880131</v>
      </c>
      <c r="D40" s="156">
        <f t="shared" si="34"/>
        <v>0.5304720120097528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0.44873026767330132</v>
      </c>
      <c r="D41" s="151">
        <f t="shared" si="35"/>
        <v>0.54694575435404835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0.12063647696552883</v>
      </c>
      <c r="D43" s="151">
        <f t="shared" si="37"/>
        <v>0.2468510305065503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1.0703282304304319E-2</v>
      </c>
      <c r="D44" s="151">
        <f t="shared" si="38"/>
        <v>0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-3.5319141001935742E-2</v>
      </c>
      <c r="D46" s="289">
        <f t="shared" si="40"/>
        <v>-0.32426879687035143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 t="e">
        <f t="shared" ref="C48:M48" si="41">IF(C6="","",C6/C27)</f>
        <v>#DIV/0!</v>
      </c>
      <c r="D48" s="159" t="e">
        <f t="shared" si="41"/>
        <v>#VALUE!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-3.4156118621038121</v>
      </c>
      <c r="D55" s="151">
        <f t="shared" si="47"/>
        <v>-0.76125434481827692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0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USD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0</v>
      </c>
      <c r="J48" s="193"/>
    </row>
    <row r="49" spans="2:11" ht="15" customHeight="1" thickTop="1" x14ac:dyDescent="0.35">
      <c r="B49" s="9" t="s">
        <v>13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78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256</v>
      </c>
      <c r="I61" s="209">
        <f>C99*Data!$C$4/Common_Shares</f>
        <v>0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277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257</v>
      </c>
      <c r="I63" s="213">
        <f>IF(I61&gt;0,FV(I62,D93,0,-I61),I61)</f>
        <v>0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258</v>
      </c>
      <c r="I64" s="213">
        <f>IF(I61&gt;0,PV(C94,D93,0,-I63),I61)</f>
        <v>0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1000USD)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2141790</v>
      </c>
      <c r="D74" s="103"/>
      <c r="E74" s="262">
        <f>Inputs!E91</f>
        <v>2141790</v>
      </c>
      <c r="F74" s="103"/>
      <c r="H74" s="262">
        <f>Inputs!F91</f>
        <v>2141790</v>
      </c>
      <c r="I74" s="103"/>
      <c r="K74" s="75"/>
    </row>
    <row r="75" spans="1:11" ht="15" customHeight="1" x14ac:dyDescent="0.35">
      <c r="B75" s="105" t="s">
        <v>97</v>
      </c>
      <c r="C75" s="102">
        <f>Data!C8</f>
        <v>975048</v>
      </c>
      <c r="D75" s="106">
        <f>C75/$C$74</f>
        <v>0.45524911405880131</v>
      </c>
      <c r="E75" s="262">
        <f>Inputs!E92</f>
        <v>975048</v>
      </c>
      <c r="F75" s="217">
        <f>E75/E74</f>
        <v>0.45524911405880131</v>
      </c>
      <c r="H75" s="262">
        <f>Inputs!F92</f>
        <v>975048</v>
      </c>
      <c r="I75" s="217">
        <f>H75/$H$74</f>
        <v>0.45524911405880131</v>
      </c>
      <c r="K75" s="75"/>
    </row>
    <row r="76" spans="1:11" ht="15" customHeight="1" x14ac:dyDescent="0.35">
      <c r="B76" s="12" t="s">
        <v>87</v>
      </c>
      <c r="C76" s="150">
        <f>C74-C75</f>
        <v>1166742</v>
      </c>
      <c r="D76" s="218"/>
      <c r="E76" s="219">
        <f>E74-E75</f>
        <v>1166742</v>
      </c>
      <c r="F76" s="218"/>
      <c r="H76" s="219">
        <f>H74-H75</f>
        <v>1166742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961086</v>
      </c>
      <c r="D77" s="106">
        <f>C77/$C$74</f>
        <v>0.44873026767330132</v>
      </c>
      <c r="E77" s="262">
        <f>Inputs!E93</f>
        <v>961086</v>
      </c>
      <c r="F77" s="217">
        <f>E77/E74</f>
        <v>0.44873026767330132</v>
      </c>
      <c r="H77" s="262">
        <f>Inputs!F93</f>
        <v>961086</v>
      </c>
      <c r="I77" s="217">
        <f>H77/$H$74</f>
        <v>0.44873026767330132</v>
      </c>
      <c r="K77" s="75"/>
    </row>
    <row r="78" spans="1:11" ht="15" customHeight="1" x14ac:dyDescent="0.35">
      <c r="B78" s="98" t="s">
        <v>152</v>
      </c>
      <c r="C78" s="102">
        <f>MAX(Data!C12,0)</f>
        <v>22924.183006535946</v>
      </c>
      <c r="D78" s="106">
        <f>C78/$C$74</f>
        <v>1.0703282304304319E-2</v>
      </c>
      <c r="E78" s="220">
        <f>E74*F78</f>
        <v>22924.183006535946</v>
      </c>
      <c r="F78" s="217">
        <f>I78</f>
        <v>1.0703282304304319E-2</v>
      </c>
      <c r="H78" s="262">
        <f>Inputs!F97</f>
        <v>22924.183006535946</v>
      </c>
      <c r="I78" s="217">
        <f>H78/$H$74</f>
        <v>1.0703282304304319E-2</v>
      </c>
      <c r="K78" s="75"/>
    </row>
    <row r="79" spans="1:11" ht="15" customHeight="1" x14ac:dyDescent="0.35">
      <c r="B79" s="221" t="s">
        <v>205</v>
      </c>
      <c r="C79" s="222">
        <f>C76-C77-C78</f>
        <v>182731.81699346405</v>
      </c>
      <c r="D79" s="223">
        <f>C79/C74</f>
        <v>8.5317335963593088E-2</v>
      </c>
      <c r="E79" s="224">
        <f>E76-E77-E78</f>
        <v>182731.81699346405</v>
      </c>
      <c r="F79" s="223">
        <f>E79/E74</f>
        <v>8.5317335963593088E-2</v>
      </c>
      <c r="G79" s="225"/>
      <c r="H79" s="224">
        <f>H76-H77-H78</f>
        <v>182731.81699346405</v>
      </c>
      <c r="I79" s="223">
        <f>H79/H74</f>
        <v>8.5317335963593088E-2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258378</v>
      </c>
      <c r="D81" s="106">
        <f>C81/$C$74</f>
        <v>0.12063647696552883</v>
      </c>
      <c r="E81" s="220">
        <f>E74*F81</f>
        <v>258378</v>
      </c>
      <c r="F81" s="217">
        <f>I81</f>
        <v>0.12063647696552883</v>
      </c>
      <c r="H81" s="262">
        <f>Inputs!F94</f>
        <v>258378</v>
      </c>
      <c r="I81" s="217">
        <f>H81/$H$74</f>
        <v>0.12063647696552883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-75646.183006535954</v>
      </c>
      <c r="D83" s="229">
        <f>C83/$C$74</f>
        <v>-3.5319141001935742E-2</v>
      </c>
      <c r="E83" s="230">
        <f>E79-E81-E82-E80</f>
        <v>-75646.183006535954</v>
      </c>
      <c r="F83" s="229">
        <f>E83/E74</f>
        <v>-3.5319141001935742E-2</v>
      </c>
      <c r="H83" s="230">
        <f>H79-H81-H82-H80</f>
        <v>-75646.183006535954</v>
      </c>
      <c r="I83" s="229">
        <f>H83/$H$74</f>
        <v>-3.5319141001935742E-2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0.23499999999999999</v>
      </c>
      <c r="E84" s="232"/>
      <c r="F84" s="233">
        <f t="shared" ref="F84" si="3">I84</f>
        <v>0.23499999999999999</v>
      </c>
      <c r="H84" s="232"/>
      <c r="I84" s="263">
        <f>Inputs!C16</f>
        <v>0.23499999999999999</v>
      </c>
      <c r="K84" s="75"/>
    </row>
    <row r="85" spans="1:11" ht="15" customHeight="1" x14ac:dyDescent="0.35">
      <c r="B85" s="234" t="s">
        <v>148</v>
      </c>
      <c r="C85" s="222">
        <f>C83*(1-I84)</f>
        <v>-57869.330000000009</v>
      </c>
      <c r="D85" s="223">
        <f>C85/$C$74</f>
        <v>-2.7019142866480845E-2</v>
      </c>
      <c r="E85" s="235">
        <f>E83*(1-F84)</f>
        <v>-57869.330000000009</v>
      </c>
      <c r="F85" s="223">
        <f>E85/E74</f>
        <v>-2.7019142866480845E-2</v>
      </c>
      <c r="G85" s="225"/>
      <c r="H85" s="235">
        <f>H83*(1-I84)</f>
        <v>-57869.330000000009</v>
      </c>
      <c r="I85" s="223">
        <f>H85/$H$74</f>
        <v>-2.7019142866480845E-2</v>
      </c>
      <c r="K85" s="75"/>
    </row>
    <row r="86" spans="1:11" ht="15" customHeight="1" x14ac:dyDescent="0.35">
      <c r="B86" s="3" t="s">
        <v>145</v>
      </c>
      <c r="C86" s="236">
        <f>C85*Data!C4/Common_Shares</f>
        <v>-1.6139708716624852E-2</v>
      </c>
      <c r="D86" s="103"/>
      <c r="E86" s="237">
        <f>E85*Data!C4/Common_Shares</f>
        <v>-1.6139708716624852E-2</v>
      </c>
      <c r="F86" s="103"/>
      <c r="H86" s="237">
        <f>H85*Data!C4/Common_Shares</f>
        <v>-1.6139708716624852E-2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-2.3691078102455281E-2</v>
      </c>
      <c r="D87" s="103"/>
      <c r="E87" s="239">
        <f>E86*Exchange_Rate/Dashboard!G3</f>
        <v>-2.3691078102455281E-2</v>
      </c>
      <c r="F87" s="103"/>
      <c r="H87" s="239">
        <f>H86*Exchange_Rate/Dashboard!G3</f>
        <v>-2.3691078102455281E-2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2.5641025641025644E-2</v>
      </c>
      <c r="D88" s="241">
        <f>C88/C86</f>
        <v>-1.5886919702964573</v>
      </c>
      <c r="E88" s="261">
        <f>Inputs!E98</f>
        <v>2.5641025641025644E-2</v>
      </c>
      <c r="F88" s="241">
        <f>E88/E86</f>
        <v>-1.5886919702964573</v>
      </c>
      <c r="H88" s="261">
        <f>Inputs!F98</f>
        <v>2.5641025641025644E-2</v>
      </c>
      <c r="I88" s="241">
        <f>H88/H86</f>
        <v>-1.5886919702964573</v>
      </c>
      <c r="K88" s="75"/>
    </row>
    <row r="89" spans="1:11" ht="15" customHeight="1" x14ac:dyDescent="0.35">
      <c r="B89" s="3" t="s">
        <v>195</v>
      </c>
      <c r="C89" s="238">
        <f>C88*Exchange_Rate/Dashboard!G3</f>
        <v>3.7637825549036934E-2</v>
      </c>
      <c r="D89" s="103"/>
      <c r="E89" s="238">
        <f>E88*Exchange_Rate/Dashboard!G3</f>
        <v>3.7637825549036934E-2</v>
      </c>
      <c r="F89" s="103"/>
      <c r="H89" s="238">
        <f>H88*Exchange_Rate/Dashboard!G3</f>
        <v>3.7637825549036934E-2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HK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HK Discount Rate</v>
      </c>
      <c r="C93" s="242">
        <f>IF(C92="CN",Dashboard!C17,IF(C92="US",Dashboard!C12,IF(C92="HK",Dashboard!D12,Dashboard!D17)))</f>
        <v>8.0625000000000002E-2</v>
      </c>
      <c r="D93" s="259">
        <f>Dashboard!H20</f>
        <v>5</v>
      </c>
      <c r="E93" s="3" t="s">
        <v>184</v>
      </c>
      <c r="F93" s="243">
        <f>FV(E87,D93,0,-(E86/(C93-D94)))*Exchange_Rate</f>
        <v>-1.8336862791491717</v>
      </c>
      <c r="H93" s="3" t="s">
        <v>184</v>
      </c>
      <c r="I93" s="243">
        <f>FV(H87,D93,0,-(H86/(C93-D94)))*Exchange_Rate</f>
        <v>-1.8336862791491717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3.9505487013017291</v>
      </c>
      <c r="H94" s="3" t="s">
        <v>185</v>
      </c>
      <c r="I94" s="243">
        <f>FV(H89,D93,0,-(H88/(C93-D94)))*Exchange_Rate</f>
        <v>3.9505487013017291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-3268801.8516018884</v>
      </c>
      <c r="D97" s="250"/>
      <c r="E97" s="251">
        <f>PV(C94,D93,0,-F93)</f>
        <v>-0.91166615782865379</v>
      </c>
      <c r="F97" s="250"/>
      <c r="H97" s="251">
        <f>PV(C94,D93,0,-I93)</f>
        <v>-0.91166615782865379</v>
      </c>
      <c r="I97" s="251">
        <f>PV(C93,D93,0,-I93)</f>
        <v>-1.2443712890648067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0</v>
      </c>
      <c r="E100" s="257">
        <f>MAX(E97+H98+E99,0)</f>
        <v>0</v>
      </c>
      <c r="F100" s="257">
        <f>(E100+H100)/2</f>
        <v>0</v>
      </c>
      <c r="H100" s="257">
        <f>MAX(H97+H98+H99,0)</f>
        <v>0</v>
      </c>
      <c r="I100" s="257">
        <f>MAX(I97+H98+H99,0)</f>
        <v>0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1.6695027700575786</v>
      </c>
      <c r="E103" s="251">
        <f>PV(C94,D93,0,-F94)</f>
        <v>1.9641209059500926</v>
      </c>
      <c r="F103" s="257">
        <f>(E103+H103)/2</f>
        <v>1.9641209059500926</v>
      </c>
      <c r="H103" s="251">
        <f>PV(C94,D93,0,-I94)</f>
        <v>1.9641209059500926</v>
      </c>
      <c r="I103" s="257">
        <f>PV(C93,D93,0,-I94)</f>
        <v>2.6809108165618847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0.83475138502878932</v>
      </c>
      <c r="E106" s="251">
        <f>(E100+E103)/2</f>
        <v>0.98206045297504629</v>
      </c>
      <c r="F106" s="257">
        <f>(F100+F103)/2</f>
        <v>0.98206045297504629</v>
      </c>
      <c r="H106" s="251">
        <f>(H100+H103)/2</f>
        <v>0.98206045297504629</v>
      </c>
      <c r="I106" s="251">
        <f>(I100+I103)/2</f>
        <v>1.3404554082809423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45603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2024-12-27T07:44:32Z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