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1B44760-DA4B-446B-A18D-41A17738060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93" i="3"/>
  <c r="F96" i="4" l="1"/>
  <c r="F97" i="4"/>
  <c r="E92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<sst xmlns="http://schemas.openxmlformats.org/spreadsheetml/2006/main" count="403" uniqueCount="287">
  <si>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</si>
  <si>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</si>
  <si>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</si>
  <si>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</si>
  <si>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</si>
  <si>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</si>
  <si>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</si>
  <si>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</si>
  <si>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</si>
  <si>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</si>
  <si>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</si>
  <si>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</si>
  <si>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</si>
  <si>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</si>
  <si>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</si>
  <si>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</si>
  <si>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</si>
  <si>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</si>
  <si>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</si>
  <si>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</si>
  <si>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</si>
  <si>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</si>
  <si>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</si>
  <si>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</si>
  <si>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</si>
  <si>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</si>
  <si>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</si>
  <si>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</si>
  <si>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</si>
  <si>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</si>
  <si>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</si>
  <si>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</si>
  <si>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</si>
  <si>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</si>
  <si>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</si>
  <si>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</si>
  <si>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</si>
  <si>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</si>
  <si>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</si>
  <si>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</si>
  <si>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</si>
  <si>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</si>
  <si>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</si>
  <si>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</si>
  <si>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</si>
  <si>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</si>
  <si>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</si>
  <si>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</si>
  <si>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</si>
  <si>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</si>
  <si>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</si>
  <si>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</si>
  <si>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</si>
  <si>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</si>
  <si>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</si>
  <si>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</si>
  <si>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</si>
  <si>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</si>
  <si>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</si>
  <si>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</si>
  <si>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</si>
  <si>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</si>
  <si>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</si>
  <si>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</si>
  <si>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</si>
  <si>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</si>
  <si>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</si>
  <si>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</si>
  <si>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</si>
  <si>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</si>
  <si>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</si>
  <si>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</si>
  <si>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</si>
  <si>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</si>
  <si>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</si>
  <si>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</si>
  <si>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</si>
  <si>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</si>
  <si>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</si>
  <si>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</si>
  <si>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</si>
  <si>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</si>
  <si>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</si>
  <si>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</si>
  <si>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</si>
  <si>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</si>
  <si>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</si>
  <si>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</si>
  <si>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</si>
  <si>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</si>
  <si>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</si>
  <si>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</si>
  <si>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</si>
  <si>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</si>
  <si>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</si>
  <si>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</si>
  <si>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</si>
  <si>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</si>
  <si>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</si>
  <si>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</si>
  <si>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</si>
  <si>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</si>
  <si>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</si>
  <si>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</si>
  <si>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</si>
  <si>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</si>
  <si>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</si>
  <si>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</si>
  <si>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</si>
  <si>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</si>
  <si>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</si>
  <si>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</si>
  <si>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</si>
  <si>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</si>
  <si>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</si>
  <si>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</si>
  <si>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</si>
  <si>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</si>
  <si>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</si>
  <si>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</si>
  <si>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</si>
  <si>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</si>
  <si>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</si>
  <si>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</si>
  <si>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</si>
  <si>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</si>
  <si>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</si>
  <si>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</si>
  <si>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</si>
  <si>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</si>
  <si>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</si>
  <si>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</si>
  <si>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</si>
  <si>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</si>
  <si>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</si>
  <si>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</si>
  <si>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</si>
  <si>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</si>
  <si>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</si>
  <si>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</si>
  <si>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</si>
  <si>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</si>
  <si>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</si>
  <si>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</si>
  <si>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</si>
  <si>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</si>
  <si>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</si>
  <si>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</si>
  <si>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</si>
  <si>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</si>
  <si>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</si>
  <si>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</si>
  <si>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</si>
  <si>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</si>
  <si>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</si>
  <si>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</si>
  <si>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</si>
  <si>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</si>
  <si>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</si>
  <si>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</si>
  <si>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</si>
  <si>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</si>
  <si>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</si>
  <si>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</si>
  <si>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</si>
  <si>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</si>
  <si>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</si>
  <si>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</si>
  <si>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</si>
  <si>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</si>
  <si>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</si>
  <si>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</si>
  <si>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</si>
  <si>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</si>
  <si>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</si>
  <si>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</si>
  <si>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</si>
  <si>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</si>
  <si>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</si>
  <si>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</si>
  <si>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</si>
  <si>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</si>
  <si>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</si>
  <si>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</si>
  <si>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</si>
  <si>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</si>
  <si>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</si>
  <si>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</si>
  <si>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</si>
  <si>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</si>
  <si>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</si>
  <si>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</si>
  <si>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</si>
  <si>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</si>
  <si>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</si>
  <si>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</si>
  <si>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</si>
  <si>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</si>
  <si>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</si>
  <si>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</si>
  <si>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</si>
  <si>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</si>
  <si>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</si>
  <si>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</si>
  <si>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</si>
  <si>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</si>
  <si>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</si>
  <si>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</si>
  <si>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</si>
  <si>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</si>
  <si>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</si>
  <si>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</si>
  <si>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</si>
  <si>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</si>
  <si>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</si>
  <si>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</si>
  <si>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</si>
  <si>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</si>
  <si>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</si>
  <si>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</si>
  <si>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</si>
  <si>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</si>
  <si>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</si>
  <si>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</si>
  <si>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</si>
  <si>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</si>
  <si>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</si>
  <si>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</si>
  <si>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</si>
  <si>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</si>
  <si>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</si>
  <si>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</si>
  <si>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</si>
  <si>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</si>
  <si>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</si>
  <si>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</si>
  <si>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</si>
  <si>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</si>
  <si>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</si>
  <si>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</si>
  <si>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</si>
  <si>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</si>
  <si>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</si>
  <si>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</si>
  <si>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</si>
  <si>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</si>
  <si>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</si>
  <si>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</si>
  <si>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</si>
  <si>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</si>
  <si>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</si>
  <si>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</si>
  <si>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</si>
  <si>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</si>
  <si>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</si>
  <si>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</si>
  <si>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</si>
  <si>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</si>
  <si>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</si>
  <si>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</si>
  <si>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</si>
  <si>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</si>
  <si>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</si>
  <si>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</si>
  <si>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</si>
  <si>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</si>
  <si>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</si>
  <si>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</si>
  <si>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</si>
  <si>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</si>
  <si>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</si>
  <si>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</si>
  <si>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</si>
  <si>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</si>
  <si>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</si>
  <si>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</si>
  <si>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</si>
  <si>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</si>
  <si>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</si>
  <si>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</si>
  <si>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</si>
  <si>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</si>
  <si>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1044.HK</t>
  </si>
  <si>
    <t>恒安國際</t>
  </si>
  <si>
    <t>Tier 3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</si>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</sst>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1162120917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23767936</v>
      </c>
      <c r="D25" s="80">
        <v>22615878</v>
      </c>
      <c r="E25" s="80">
        <v>20790144</v>
      </c>
      <c r="F25" s="80">
        <v>22374001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15757248</v>
      </c>
      <c r="D26" s="82">
        <v>14926379</v>
      </c>
      <c r="E26" s="82">
        <v>13017826</v>
      </c>
      <c r="F26" s="82">
        <v>12918146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5068887</v>
      </c>
      <c r="D27" s="82">
        <v>4888813</v>
      </c>
      <c r="E27" s="82">
        <v>4526293</v>
      </c>
      <c r="F27" s="82">
        <v>4832922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646577</v>
      </c>
      <c r="D29" s="82">
        <v>468159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6871</v>
      </c>
      <c r="D30" s="82">
        <v>24051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4126200-4644583</f>
        <v>-518383</v>
      </c>
      <c r="D31" s="82">
        <f>3352219-4803030</f>
        <v>-1450811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808830+5967+54201+30822</f>
        <v>899820</v>
      </c>
      <c r="D32" s="82">
        <f>793670+53694+6219+33410</f>
        <v>886993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1469761+50745</f>
        <v>1520506</v>
      </c>
      <c r="D33" s="82">
        <f>1121618+123039</f>
        <v>1244657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0.7+0.7</f>
        <v>1.4</v>
      </c>
      <c r="D44" s="86">
        <f>0.7+0.7</f>
        <v>1.4</v>
      </c>
      <c r="E44" s="86">
        <f>0.7+0.7</f>
        <v>1.4</v>
      </c>
      <c r="F44" s="86">
        <f>1.3+1.2</f>
        <v>2.5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6.6194260915120429E-2</v>
      </c>
      <c r="D45" s="87">
        <f>IF(D44="","",D44*Exchange_Rate/Dashboard!$G$3)</f>
        <v>6.6194260915120429E-2</v>
      </c>
      <c r="E45" s="87">
        <f>IF(E44="","",E44*Exchange_Rate/Dashboard!$G$3)</f>
        <v>6.6194260915120429E-2</v>
      </c>
      <c r="F45" s="87">
        <f>IF(F44="","",F44*Exchange_Rate/Dashboard!$G$3)</f>
        <v>0.11820403734842937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23767936</v>
      </c>
      <c r="D91" s="103"/>
      <c r="E91" s="104">
        <f>C91</f>
        <v>23767936</v>
      </c>
      <c r="F91" s="104">
        <f>C91</f>
        <v>23767936</v>
      </c>
    </row>
    <row r="92" spans="2:8" x14ac:dyDescent="0.35">
      <c r="B92" s="105" t="s">
        <v>97</v>
      </c>
      <c r="C92" s="102">
        <f>C26</f>
        <v>15757248</v>
      </c>
      <c r="D92" s="106">
        <f>C92/C91</f>
        <v>0.66296240447635002</v>
      </c>
      <c r="E92" s="107">
        <f>E91*D92</f>
        <v>15757248</v>
      </c>
      <c r="F92" s="107">
        <f>F91*D92</f>
        <v>15757248</v>
      </c>
    </row>
    <row r="93" spans="2:8" x14ac:dyDescent="0.35">
      <c r="B93" s="105" t="s">
        <v>218</v>
      </c>
      <c r="C93" s="102">
        <f>C27+C28</f>
        <v>5068887</v>
      </c>
      <c r="D93" s="106">
        <f>C93/C91</f>
        <v>0.21326576274860384</v>
      </c>
      <c r="E93" s="107">
        <f>E91*D93</f>
        <v>5068887</v>
      </c>
      <c r="F93" s="107">
        <f>F91*D93</f>
        <v>5068887</v>
      </c>
    </row>
    <row r="94" spans="2:8" x14ac:dyDescent="0.35">
      <c r="B94" s="105" t="s">
        <v>224</v>
      </c>
      <c r="C94" s="102">
        <f>C29</f>
        <v>646577</v>
      </c>
      <c r="D94" s="106">
        <f>C94/C91</f>
        <v>2.7203750464491323E-2</v>
      </c>
      <c r="E94" s="108"/>
      <c r="F94" s="107">
        <f>F91*D94</f>
        <v>646577</v>
      </c>
    </row>
    <row r="95" spans="2:8" x14ac:dyDescent="0.35">
      <c r="B95" s="18" t="s">
        <v>217</v>
      </c>
      <c r="C95" s="102">
        <f>ABS(MAX(C33,0)-C32)</f>
        <v>620686</v>
      </c>
      <c r="D95" s="106">
        <f>C95/C91</f>
        <v>2.6114425754091564E-2</v>
      </c>
      <c r="E95" s="107">
        <f>E91*2%</f>
        <v>475358.72000000003</v>
      </c>
      <c r="F95" s="107">
        <f>F91*1%</f>
        <v>237679.36000000002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9161.3333333333339</v>
      </c>
      <c r="D97" s="106">
        <f>C97/C91</f>
        <v>3.8544925959634583E-4</v>
      </c>
      <c r="E97" s="108"/>
      <c r="F97" s="107">
        <f>F91*D97</f>
        <v>9161.3333333333339</v>
      </c>
    </row>
    <row r="98" spans="2:6" x14ac:dyDescent="0.35">
      <c r="B98" s="8" t="s">
        <v>182</v>
      </c>
      <c r="C98" s="109">
        <f>C44</f>
        <v>1.4</v>
      </c>
      <c r="D98" s="110"/>
      <c r="E98" s="111">
        <f>F98</f>
        <v>1.4</v>
      </c>
      <c r="F98" s="111">
        <f>C98</f>
        <v>1.4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1044.HK : 恒安國際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1044.HK</v>
      </c>
      <c r="D3" s="316"/>
      <c r="E3" s="3"/>
      <c r="F3" s="9" t="s">
        <v>1</v>
      </c>
      <c r="G3" s="10">
        <v>22.5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恒安國際</v>
      </c>
      <c r="D4" s="318"/>
      <c r="E4" s="3"/>
      <c r="F4" s="9" t="s">
        <v>2</v>
      </c>
      <c r="G4" s="321">
        <f>Inputs!C10</f>
        <v>1162120917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26147.720632500001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0.12338638351544982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2.7203750464491323E-2</v>
      </c>
      <c r="F24" s="39" t="s">
        <v>226</v>
      </c>
      <c r="G24" s="43">
        <f>G3/(Fin_Analysis!H86*G7)</f>
        <v>15.99876742393872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1.0590265851805289</v>
      </c>
    </row>
    <row r="26" spans="1:8" ht="15.75" customHeight="1" x14ac:dyDescent="0.35">
      <c r="B26" s="45" t="s">
        <v>243</v>
      </c>
      <c r="C26" s="44">
        <f>Fin_Analysis!I80+Fin_Analysis!I82</f>
        <v>0.01</v>
      </c>
      <c r="F26" s="46" t="s">
        <v>168</v>
      </c>
      <c r="G26" s="47">
        <f>Fin_Analysis!H88*Exchange_Rate/G3</f>
        <v>6.6194260915120429E-2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11.262182321032183</v>
      </c>
      <c r="D29" s="54">
        <f>G29*(1+G20)</f>
        <v>21.858156845168772</v>
      </c>
      <c r="E29" s="3"/>
      <c r="F29" s="55">
        <f>IF(Fin_Analysis!C108="Profit",Fin_Analysis!F100,IF(Fin_Analysis!C108="Dividend",Fin_Analysis!F103,Fin_Analysis!F106))</f>
        <v>13.249626260037862</v>
      </c>
      <c r="G29" s="312">
        <f>IF(Fin_Analysis!C108="Profit",Fin_Analysis!I100,IF(Fin_Analysis!C108="Dividend",Fin_Analysis!I103,Fin_Analysis!I106))</f>
        <v>19.007092908842413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2932639.6666666665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23767936</v>
      </c>
      <c r="D6" s="147">
        <f>IF(Inputs!D25="","",Inputs!D25)</f>
        <v>22615878</v>
      </c>
      <c r="E6" s="147">
        <f>IF(Inputs!E25="","",Inputs!E25)</f>
        <v>20790144</v>
      </c>
      <c r="F6" s="147">
        <f>IF(Inputs!F25="","",Inputs!F25)</f>
        <v>22374001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5.0940228807389243E-2</v>
      </c>
      <c r="D7" s="148">
        <f t="shared" si="1"/>
        <v>8.7817284959642361E-2</v>
      </c>
      <c r="E7" s="148">
        <f t="shared" si="1"/>
        <v>-7.0790065665948587E-2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15757248</v>
      </c>
      <c r="D8" s="149">
        <f>IF(Inputs!D26="","",Inputs!D26)</f>
        <v>14926379</v>
      </c>
      <c r="E8" s="149">
        <f>IF(Inputs!E26="","",Inputs!E26)</f>
        <v>13017826</v>
      </c>
      <c r="F8" s="149">
        <f>IF(Inputs!F26="","",Inputs!F26)</f>
        <v>12918146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8010688</v>
      </c>
      <c r="D9" s="279">
        <f t="shared" si="2"/>
        <v>7689499</v>
      </c>
      <c r="E9" s="279">
        <f t="shared" si="2"/>
        <v>7772318</v>
      </c>
      <c r="F9" s="279">
        <f t="shared" si="2"/>
        <v>9455855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5068887</v>
      </c>
      <c r="D10" s="149">
        <f>IF(Inputs!D27="","",Inputs!D27)</f>
        <v>4888813</v>
      </c>
      <c r="E10" s="149">
        <f>IF(Inputs!E27="","",Inputs!E27)</f>
        <v>4526293</v>
      </c>
      <c r="F10" s="149">
        <f>IF(Inputs!F27="","",Inputs!F27)</f>
        <v>4832922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9161.3333333333339</v>
      </c>
      <c r="D12" s="149">
        <f>IF(Inputs!D30="","",MAX(Inputs!D30,0)/(1-Fin_Analysis!$I$84))</f>
        <v>32068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0.12338638351544982</v>
      </c>
      <c r="D13" s="300">
        <f t="shared" si="3"/>
        <v>0.12241921361620363</v>
      </c>
      <c r="E13" s="300">
        <f t="shared" si="3"/>
        <v>0.15613287719411659</v>
      </c>
      <c r="F13" s="300">
        <f t="shared" si="3"/>
        <v>0.20662075593900259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2932639.6666666665</v>
      </c>
      <c r="D14" s="302">
        <f t="shared" ref="D14:M14" si="4">IF(D6="","",D9-D10-MAX(D11,0)-MAX(D12,0))</f>
        <v>2768618</v>
      </c>
      <c r="E14" s="302">
        <f t="shared" si="4"/>
        <v>3246025</v>
      </c>
      <c r="F14" s="302">
        <f t="shared" si="4"/>
        <v>4622933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5.9243155490091633E-2</v>
      </c>
      <c r="D15" s="304">
        <f t="shared" ref="D15:M15" si="5">IF(E14="","",IF(ABS(D14+E14)=ABS(D14)+ABS(E14),IF(D14&lt;0,-1,1)*(D14-E14)/E14,"Turn"))</f>
        <v>-0.14707434477553316</v>
      </c>
      <c r="E15" s="304">
        <f t="shared" si="5"/>
        <v>-0.2978429494868301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-518383</v>
      </c>
      <c r="D16" s="149">
        <f>IF(Inputs!D31="","",Inputs!D31)</f>
        <v>-1450811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646577</v>
      </c>
      <c r="D17" s="149">
        <f>IF(Inputs!D29="","",Inputs!D29)</f>
        <v>468159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3.7858567104859249E-2</v>
      </c>
      <c r="D18" s="233">
        <f t="shared" si="6"/>
        <v>3.9219923276911914E-2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899820</v>
      </c>
      <c r="D19" s="149">
        <f>IF(Inputs!D32="","",Inputs!D32)</f>
        <v>886993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6.397299285895082E-2</v>
      </c>
      <c r="D20" s="233">
        <f t="shared" si="7"/>
        <v>5.5034653087534344E-2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1520506</v>
      </c>
      <c r="D21" s="149">
        <f>IF(Inputs!D33="","",Inputs!D33)</f>
        <v>1244657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1665376.6666666665</v>
      </c>
      <c r="D22" s="283">
        <f t="shared" ref="D22:M22" si="8">IF(D6="","",D14-MAX(D16,0)-MAX(D17,0)-ABS(MAX(D21,0)-MAX(D19,0)))</f>
        <v>1942795</v>
      </c>
      <c r="E22" s="283">
        <f t="shared" si="8"/>
        <v>3246025</v>
      </c>
      <c r="F22" s="283">
        <f t="shared" si="8"/>
        <v>4622933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5.2551155472650213E-2</v>
      </c>
      <c r="D23" s="148">
        <f t="shared" si="9"/>
        <v>6.4428020437676578E-2</v>
      </c>
      <c r="E23" s="148">
        <f t="shared" si="9"/>
        <v>0.11709965789558745</v>
      </c>
      <c r="F23" s="148">
        <f t="shared" si="9"/>
        <v>0.15496556695425195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1249032.5</v>
      </c>
      <c r="D24" s="282">
        <f>IF(D6="","",D22*(1-Fin_Analysis!$I$84))</f>
        <v>1457096.25</v>
      </c>
      <c r="E24" s="282">
        <f>IF(E6="","",E22*(1-Fin_Analysis!$I$84))</f>
        <v>2434518.75</v>
      </c>
      <c r="F24" s="282">
        <f>IF(F6="","",F22*(1-Fin_Analysis!$I$84))</f>
        <v>3467199.75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-0.14279341532860304</v>
      </c>
      <c r="D25" s="152">
        <f t="shared" ref="D25:M25" si="10">IF(E24="","",IF(ABS(D24+E24)=ABS(D24)+ABS(E24),IF(D24&lt;0,-1,1)*(D24-E24)/E24,"Turn"))</f>
        <v>-0.40148489306151369</v>
      </c>
      <c r="E25" s="152">
        <f t="shared" si="10"/>
        <v>-0.2978429494868301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0.66296240447635002</v>
      </c>
      <c r="D40" s="156">
        <f t="shared" si="34"/>
        <v>0.65999555710373037</v>
      </c>
      <c r="E40" s="156">
        <f t="shared" si="34"/>
        <v>0.62615371976259515</v>
      </c>
      <c r="F40" s="156">
        <f t="shared" si="34"/>
        <v>0.57737308584191094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0.21326576274860384</v>
      </c>
      <c r="D41" s="151">
        <f t="shared" si="35"/>
        <v>0.21616728742523283</v>
      </c>
      <c r="E41" s="151">
        <f t="shared" si="35"/>
        <v>0.21771340304328821</v>
      </c>
      <c r="F41" s="151">
        <f t="shared" si="35"/>
        <v>0.21600615821908653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2.7203750464491323E-2</v>
      </c>
      <c r="D43" s="151">
        <f t="shared" si="37"/>
        <v>2.0700456555345761E-2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3.8544925959634583E-4</v>
      </c>
      <c r="D44" s="151">
        <f t="shared" si="38"/>
        <v>1.4179418548331399E-3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2.6114425754091564E-2</v>
      </c>
      <c r="D45" s="151">
        <f t="shared" si="39"/>
        <v>1.581472981062243E-2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7.0068207296866941E-2</v>
      </c>
      <c r="D46" s="289">
        <f t="shared" si="40"/>
        <v>8.5904027250235437E-2</v>
      </c>
      <c r="E46" s="289">
        <f t="shared" si="40"/>
        <v>0.15613287719411659</v>
      </c>
      <c r="F46" s="289">
        <f t="shared" si="40"/>
        <v>0.20662075593900259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-0.44996258868911115</v>
      </c>
      <c r="D51" s="151">
        <f t="shared" si="44"/>
        <v>-0.79464533168577678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0.38824670294808183</v>
      </c>
      <c r="D55" s="151">
        <f t="shared" si="47"/>
        <v>0.24097189873352567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23767936</v>
      </c>
      <c r="D74" s="103"/>
      <c r="E74" s="262">
        <f>Inputs!E91</f>
        <v>23767936</v>
      </c>
      <c r="F74" s="103"/>
      <c r="H74" s="262">
        <f>Inputs!F91</f>
        <v>23767936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15757248</v>
      </c>
      <c r="D75" s="106">
        <f>C75/$C$74</f>
        <v>0.66296240447635002</v>
      </c>
      <c r="E75" s="262">
        <f>Inputs!E92</f>
        <v>15757248</v>
      </c>
      <c r="F75" s="217">
        <f>E75/E74</f>
        <v>0.66296240447635002</v>
      </c>
      <c r="H75" s="262">
        <f>Inputs!F92</f>
        <v>15757248</v>
      </c>
      <c r="I75" s="217">
        <f>H75/$H$74</f>
        <v>0.66296240447635002</v>
      </c>
      <c r="K75" s="75"/>
    </row>
    <row r="76" spans="1:11" ht="15" customHeight="1" x14ac:dyDescent="0.35">
      <c r="B76" s="12" t="s">
        <v>87</v>
      </c>
      <c r="C76" s="150">
        <f>C74-C75</f>
        <v>8010688</v>
      </c>
      <c r="D76" s="218"/>
      <c r="E76" s="219">
        <f>E74-E75</f>
        <v>8010688</v>
      </c>
      <c r="F76" s="218"/>
      <c r="H76" s="219">
        <f>H74-H75</f>
        <v>8010688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5068887</v>
      </c>
      <c r="D77" s="106">
        <f>C77/$C$74</f>
        <v>0.21326576274860384</v>
      </c>
      <c r="E77" s="262">
        <f>Inputs!E93</f>
        <v>5068887</v>
      </c>
      <c r="F77" s="217">
        <f>E77/E74</f>
        <v>0.21326576274860384</v>
      </c>
      <c r="H77" s="262">
        <f>Inputs!F93</f>
        <v>5068887</v>
      </c>
      <c r="I77" s="217">
        <f>H77/$H$74</f>
        <v>0.21326576274860384</v>
      </c>
      <c r="K77" s="75"/>
    </row>
    <row r="78" spans="1:11" ht="15" customHeight="1" x14ac:dyDescent="0.35">
      <c r="B78" s="98" t="s">
        <v>152</v>
      </c>
      <c r="C78" s="102">
        <f>MAX(Data!C12,0)</f>
        <v>9161.3333333333339</v>
      </c>
      <c r="D78" s="106">
        <f>C78/$C$74</f>
        <v>3.8544925959634583E-4</v>
      </c>
      <c r="E78" s="220">
        <f>E74*F78</f>
        <v>9161.3333333333339</v>
      </c>
      <c r="F78" s="217">
        <f>I78</f>
        <v>3.8544925959634583E-4</v>
      </c>
      <c r="H78" s="262">
        <f>Inputs!F97</f>
        <v>9161.3333333333339</v>
      </c>
      <c r="I78" s="217">
        <f>H78/$H$74</f>
        <v>3.8544925959634583E-4</v>
      </c>
      <c r="K78" s="75"/>
    </row>
    <row r="79" spans="1:11" ht="15" customHeight="1" x14ac:dyDescent="0.35">
      <c r="B79" s="221" t="s">
        <v>205</v>
      </c>
      <c r="C79" s="222">
        <f>C76-C77-C78</f>
        <v>2932639.6666666665</v>
      </c>
      <c r="D79" s="223">
        <f>C79/C74</f>
        <v>0.12338638351544982</v>
      </c>
      <c r="E79" s="224">
        <f>E76-E77-E78</f>
        <v>2932639.6666666665</v>
      </c>
      <c r="F79" s="223">
        <f>E79/E74</f>
        <v>0.12338638351544982</v>
      </c>
      <c r="G79" s="225"/>
      <c r="H79" s="224">
        <f>H76-H77-H78</f>
        <v>2932639.6666666665</v>
      </c>
      <c r="I79" s="223">
        <f>H79/H74</f>
        <v>0.12338638351544982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646577</v>
      </c>
      <c r="D81" s="106">
        <f>C81/$C$74</f>
        <v>2.7203750464491323E-2</v>
      </c>
      <c r="E81" s="220">
        <f>E74*F81</f>
        <v>646577</v>
      </c>
      <c r="F81" s="217">
        <f>I81</f>
        <v>2.7203750464491323E-2</v>
      </c>
      <c r="H81" s="262">
        <f>Inputs!F94</f>
        <v>646577</v>
      </c>
      <c r="I81" s="217">
        <f>H81/$H$74</f>
        <v>2.7203750464491323E-2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620686</v>
      </c>
      <c r="D82" s="106">
        <f>C82/$C$74</f>
        <v>2.6114425754091564E-2</v>
      </c>
      <c r="E82" s="262">
        <f>Inputs!E95</f>
        <v>475358.72000000003</v>
      </c>
      <c r="F82" s="217">
        <f>E82/E74</f>
        <v>0.02</v>
      </c>
      <c r="H82" s="262">
        <f>Inputs!F95</f>
        <v>237679.36000000002</v>
      </c>
      <c r="I82" s="217">
        <f>H82/$H$74</f>
        <v>0.01</v>
      </c>
      <c r="K82" s="75"/>
    </row>
    <row r="83" spans="1:11" ht="15" customHeight="1" thickBot="1" x14ac:dyDescent="0.4">
      <c r="B83" s="227" t="s">
        <v>115</v>
      </c>
      <c r="C83" s="228">
        <f>C79-C81-C82-C80</f>
        <v>1665376.6666666665</v>
      </c>
      <c r="D83" s="229">
        <f>C83/$C$74</f>
        <v>7.0068207296866941E-2</v>
      </c>
      <c r="E83" s="230">
        <f>E79-E81-E82-E80</f>
        <v>1810703.9466666665</v>
      </c>
      <c r="F83" s="229">
        <f>E83/E74</f>
        <v>7.6182633050958501E-2</v>
      </c>
      <c r="H83" s="230">
        <f>H79-H81-H82-H80</f>
        <v>2048383.3066666664</v>
      </c>
      <c r="I83" s="229">
        <f>H83/$H$74</f>
        <v>8.6182633050958496E-2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1249032.5</v>
      </c>
      <c r="D85" s="223">
        <f>C85/$C$74</f>
        <v>5.2551155472650213E-2</v>
      </c>
      <c r="E85" s="235">
        <f>E83*(1-F84)</f>
        <v>1358027.96</v>
      </c>
      <c r="F85" s="223">
        <f>E85/E74</f>
        <v>5.7136974788218886E-2</v>
      </c>
      <c r="G85" s="225"/>
      <c r="H85" s="235">
        <f>H83*(1-I84)</f>
        <v>1536287.4799999997</v>
      </c>
      <c r="I85" s="223">
        <f>H85/$H$74</f>
        <v>6.4636974788218879E-2</v>
      </c>
      <c r="K85" s="75"/>
    </row>
    <row r="86" spans="1:11" ht="15" customHeight="1" x14ac:dyDescent="0.35">
      <c r="B86" s="3" t="s">
        <v>145</v>
      </c>
      <c r="C86" s="236">
        <f>C85*Data!C4/Common_Shares</f>
        <v>1.0747870395658665</v>
      </c>
      <c r="D86" s="103"/>
      <c r="E86" s="237">
        <f>E85*Data!C4/Common_Shares</f>
        <v>1.1685771593421892</v>
      </c>
      <c r="F86" s="103"/>
      <c r="H86" s="237">
        <f>H85*Data!C4/Common_Shares</f>
        <v>1.3219687018162498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5.081766694658061E-2</v>
      </c>
      <c r="D87" s="103"/>
      <c r="E87" s="239">
        <f>E86*Exchange_Rate/Dashboard!G3</f>
        <v>5.5252215274962248E-2</v>
      </c>
      <c r="F87" s="103"/>
      <c r="H87" s="239">
        <f>H86*Exchange_Rate/Dashboard!G3</f>
        <v>6.2504815121177074E-2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1.4</v>
      </c>
      <c r="D88" s="241">
        <f>C88/C86</f>
        <v>1.3025836267671176</v>
      </c>
      <c r="E88" s="261">
        <f>Inputs!E98</f>
        <v>1.4</v>
      </c>
      <c r="F88" s="241">
        <f>E88/E86</f>
        <v>1.1980381345020319</v>
      </c>
      <c r="H88" s="261">
        <f>Inputs!F98</f>
        <v>1.4</v>
      </c>
      <c r="I88" s="241">
        <f>H88/H86</f>
        <v>1.0590265851805289</v>
      </c>
      <c r="K88" s="75"/>
    </row>
    <row r="89" spans="1:11" ht="15" customHeight="1" x14ac:dyDescent="0.35">
      <c r="B89" s="3" t="s">
        <v>195</v>
      </c>
      <c r="C89" s="238">
        <f>C88*Exchange_Rate/Dashboard!G3</f>
        <v>6.6194260915120429E-2</v>
      </c>
      <c r="D89" s="103"/>
      <c r="E89" s="238">
        <f>E88*Exchange_Rate/Dashboard!G3</f>
        <v>6.6194260915120429E-2</v>
      </c>
      <c r="F89" s="103"/>
      <c r="H89" s="238">
        <f>H88*Exchange_Rate/Dashboard!G3</f>
        <v>6.6194260915120429E-2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24.554307675613074</v>
      </c>
      <c r="H93" s="3" t="s">
        <v>184</v>
      </c>
      <c r="I93" s="243">
        <f>FV(H87,D93,0,-(H86/(C93-D94)))*Exchange_Rate</f>
        <v>28.745154344018705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30.974098520240684</v>
      </c>
      <c r="H94" s="3" t="s">
        <v>185</v>
      </c>
      <c r="I94" s="243">
        <f>FV(H89,D93,0,-(H88/(C93-D94)))*Exchange_Rate</f>
        <v>30.974098520240684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16608360.431047289</v>
      </c>
      <c r="D97" s="250"/>
      <c r="E97" s="251">
        <f>PV(C94,D93,0,-F93)</f>
        <v>12.207830527671049</v>
      </c>
      <c r="F97" s="250"/>
      <c r="H97" s="251">
        <f>PV(C94,D93,0,-I93)</f>
        <v>14.291421992404675</v>
      </c>
      <c r="I97" s="251">
        <f>PV(C93,D93,0,-I93)</f>
        <v>19.007092908842413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11.262182321032183</v>
      </c>
      <c r="E100" s="257">
        <f>MAX(E97+H98+E99,0)</f>
        <v>12.207830527671049</v>
      </c>
      <c r="F100" s="257">
        <f>(E100+H100)/2</f>
        <v>13.249626260037862</v>
      </c>
      <c r="H100" s="257">
        <f>MAX(H97+H98+H99,0)</f>
        <v>14.291421992404675</v>
      </c>
      <c r="I100" s="257">
        <f>MAX(I97+H98+H99,0)</f>
        <v>19.007092908842413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13.089661003935728</v>
      </c>
      <c r="E103" s="251">
        <f>PV(C94,D93,0,-F94)</f>
        <v>15.399601181100856</v>
      </c>
      <c r="F103" s="257">
        <f>(E103+H103)/2</f>
        <v>15.399601181100856</v>
      </c>
      <c r="H103" s="251">
        <f>PV(C94,D93,0,-I94)</f>
        <v>15.399601181100856</v>
      </c>
      <c r="I103" s="257">
        <f>PV(C93,D93,0,-I94)</f>
        <v>20.480932587664309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12.175921662483955</v>
      </c>
      <c r="E106" s="251">
        <f>(E100+E103)/2</f>
        <v>13.803715854385953</v>
      </c>
      <c r="F106" s="257">
        <f>(F100+F103)/2</f>
        <v>14.32461372056936</v>
      </c>
      <c r="H106" s="251">
        <f>(H100+H103)/2</f>
        <v>14.845511586752766</v>
      </c>
      <c r="I106" s="251">
        <f>(I100+I103)/2</f>
        <v>19.744012748253361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