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D11B09F-DD3F-4F4B-8CF3-B992240BC1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C61" i="4"/>
  <c r="D60" i="4"/>
  <c r="D59" i="4"/>
  <c r="D58" i="4"/>
  <c r="D71" i="4" s="1"/>
  <c r="D55" i="4"/>
  <c r="D50" i="4"/>
  <c r="D53" i="4" s="1"/>
  <c r="D44" i="4"/>
  <c r="C44" i="4"/>
  <c r="D41" i="4"/>
  <c r="C41" i="4"/>
  <c r="F37" i="4"/>
  <c r="E37" i="4"/>
  <c r="D37" i="4"/>
  <c r="E27" i="4"/>
  <c r="D27" i="4"/>
  <c r="C27" i="4"/>
  <c r="D93" i="3"/>
  <c r="E92" i="4" l="1"/>
  <c r="F97" i="4"/>
  <c r="F95" i="4"/>
  <c r="F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<sst xmlns="http://schemas.openxmlformats.org/spreadsheetml/2006/main" count="403" uniqueCount="288">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</sst>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19080551940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45382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941168</v>
      </c>
      <c r="D25" s="80">
        <v>868687</v>
      </c>
      <c r="E25" s="80">
        <v>853062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586323</v>
      </c>
      <c r="D26" s="82">
        <v>549695</v>
      </c>
      <c r="E26" s="82">
        <v>539450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115141+41985</f>
        <v>157126</v>
      </c>
      <c r="D27" s="82">
        <f>103496+42183</f>
        <v>145679</v>
      </c>
      <c r="E27" s="82">
        <f>119799+31922</f>
        <v>151721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52256</v>
      </c>
      <c r="D28" s="82">
        <v>56744</v>
      </c>
      <c r="E28" s="82">
        <v>55465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7947</v>
      </c>
      <c r="D29" s="82">
        <v>5918</v>
      </c>
      <c r="E29" s="82">
        <v>4909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268</v>
      </c>
      <c r="D30" s="82">
        <v>274</v>
      </c>
      <c r="E30" s="82">
        <v>290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652230</v>
      </c>
      <c r="D37" s="82">
        <f>385351+244772</f>
        <v>630123</v>
      </c>
      <c r="E37" s="82">
        <f>383784+229576</f>
        <v>613360</v>
      </c>
      <c r="F37" s="82">
        <f>377358+229226</f>
        <v>606584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f>1101871+10728</f>
        <v>1112599</v>
      </c>
      <c r="D41" s="82">
        <f>1113063+9858</f>
        <v>1122921</v>
      </c>
      <c r="E41" s="82">
        <v>1082193</v>
      </c>
      <c r="F41" s="82">
        <v>1083634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115327</v>
      </c>
      <c r="D42" s="82">
        <v>123406</v>
      </c>
      <c r="E42" s="82">
        <v>124059</v>
      </c>
      <c r="F42" s="82">
        <v>137491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0.125*7.2</f>
        <v>0.9</v>
      </c>
      <c r="D44" s="86">
        <f>0.125*7.2</f>
        <v>0.9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1.1577420828564423E-2</v>
      </c>
      <c r="D45" s="87">
        <f>IF(D44="","",D44*Exchange_Rate/Dashboard!$G$3)</f>
        <v>1.1577420828564423E-2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248125</v>
      </c>
      <c r="D48" s="114">
        <v>0.9</v>
      </c>
      <c r="E48" s="266"/>
    </row>
    <row r="49" spans="2:5" x14ac:dyDescent="0.35">
      <c r="B49" s="2" t="s">
        <v>125</v>
      </c>
      <c r="C49" s="91">
        <v>38299</v>
      </c>
      <c r="D49" s="114">
        <v>0.8</v>
      </c>
      <c r="E49" s="266"/>
    </row>
    <row r="50" spans="2:5" x14ac:dyDescent="0.35">
      <c r="B50" s="9" t="s">
        <v>107</v>
      </c>
      <c r="C50" s="91">
        <v>143536</v>
      </c>
      <c r="D50" s="114">
        <f>D51</f>
        <v>0.6</v>
      </c>
      <c r="E50" s="266"/>
    </row>
    <row r="51" spans="2:5" x14ac:dyDescent="0.35">
      <c r="B51" s="9" t="s">
        <v>34</v>
      </c>
      <c r="C51" s="91">
        <v>59949</v>
      </c>
      <c r="D51" s="114">
        <v>0.6</v>
      </c>
      <c r="E51" s="266"/>
    </row>
    <row r="52" spans="2:5" x14ac:dyDescent="0.35">
      <c r="B52" s="9" t="s">
        <v>36</v>
      </c>
      <c r="C52" s="91">
        <v>262955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f>220942+203131</f>
        <v>424073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116102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185161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26950</v>
      </c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259679</v>
      </c>
      <c r="D72" s="116">
        <v>0</v>
      </c>
      <c r="E72" s="268"/>
    </row>
    <row r="73" spans="2:5" x14ac:dyDescent="0.35">
      <c r="B73" s="9" t="s">
        <v>31</v>
      </c>
      <c r="C73" s="91">
        <v>12749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16252</v>
      </c>
    </row>
    <row r="77" spans="2:5" ht="12" thickBot="1" x14ac:dyDescent="0.4">
      <c r="B77" s="96" t="s">
        <v>15</v>
      </c>
      <c r="C77" s="97">
        <v>421507</v>
      </c>
    </row>
    <row r="78" spans="2:5" ht="12" thickTop="1" x14ac:dyDescent="0.35">
      <c r="B78" s="9" t="s">
        <v>54</v>
      </c>
      <c r="C78" s="91">
        <v>55686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86089</v>
      </c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0.03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941168</v>
      </c>
      <c r="D91" s="103"/>
      <c r="E91" s="104">
        <f>C91</f>
        <v>941168</v>
      </c>
      <c r="F91" s="104">
        <f>C91</f>
        <v>941168</v>
      </c>
    </row>
    <row r="92" spans="2:8" x14ac:dyDescent="0.35">
      <c r="B92" s="105" t="s">
        <v>97</v>
      </c>
      <c r="C92" s="102">
        <f>C26</f>
        <v>586323</v>
      </c>
      <c r="D92" s="106">
        <f>C92/C91</f>
        <v>0.62297379426414834</v>
      </c>
      <c r="E92" s="107">
        <f>E91*D92</f>
        <v>586323</v>
      </c>
      <c r="F92" s="107">
        <f>F91*D92</f>
        <v>586323</v>
      </c>
    </row>
    <row r="93" spans="2:8" x14ac:dyDescent="0.35">
      <c r="B93" s="105" t="s">
        <v>218</v>
      </c>
      <c r="C93" s="102">
        <f>C27+C28</f>
        <v>209382</v>
      </c>
      <c r="D93" s="106">
        <f>C93/C91</f>
        <v>0.22247037723339511</v>
      </c>
      <c r="E93" s="107">
        <f>E91*D93</f>
        <v>209382</v>
      </c>
      <c r="F93" s="107">
        <f>F91*D93</f>
        <v>209382</v>
      </c>
    </row>
    <row r="94" spans="2:8" x14ac:dyDescent="0.35">
      <c r="B94" s="105" t="s">
        <v>224</v>
      </c>
      <c r="C94" s="102">
        <f>C29</f>
        <v>7947</v>
      </c>
      <c r="D94" s="106">
        <f>C94/C91</f>
        <v>8.4437634938714454E-3</v>
      </c>
      <c r="E94" s="108"/>
      <c r="F94" s="107">
        <f>F91*D94</f>
        <v>7947.0000000000009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357.33333333333331</v>
      </c>
      <c r="D97" s="106">
        <f>C97/C91</f>
        <v>3.796700836974199E-4</v>
      </c>
      <c r="E97" s="108"/>
      <c r="F97" s="107">
        <f>F91*D97</f>
        <v>357.33333333333331</v>
      </c>
    </row>
    <row r="98" spans="2:6" x14ac:dyDescent="0.35">
      <c r="B98" s="8" t="s">
        <v>182</v>
      </c>
      <c r="C98" s="109">
        <f>C44</f>
        <v>0.9</v>
      </c>
      <c r="D98" s="110"/>
      <c r="E98" s="111">
        <f>F98</f>
        <v>0.9</v>
      </c>
      <c r="F98" s="111">
        <f>C98</f>
        <v>0.9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9988.HK : 阿里巴巴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9988.HK</v>
      </c>
      <c r="D3" s="316"/>
      <c r="E3" s="3"/>
      <c r="F3" s="9" t="s">
        <v>1</v>
      </c>
      <c r="G3" s="10">
        <v>82.7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阿里巴巴</v>
      </c>
      <c r="D4" s="318"/>
      <c r="E4" s="3"/>
      <c r="F4" s="9" t="s">
        <v>2</v>
      </c>
      <c r="G4" s="321">
        <f>Inputs!C10</f>
        <v>19080551940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1577961.6454380001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0.14550259775333776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0.15417615841875909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0.53329132737506013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1.7696566232682758</v>
      </c>
      <c r="F23" s="39" t="s">
        <v>165</v>
      </c>
      <c r="G23" s="40">
        <f>G3/(Data!C34*Data!C4/Common_Shares*Exchange_Rate)</f>
        <v>1.3331620967840578</v>
      </c>
    </row>
    <row r="24" spans="1:8" ht="15.75" customHeight="1" x14ac:dyDescent="0.35">
      <c r="B24" s="41" t="s">
        <v>241</v>
      </c>
      <c r="C24" s="42">
        <f>Fin_Analysis!I81</f>
        <v>8.4437634938714454E-3</v>
      </c>
      <c r="F24" s="39" t="s">
        <v>226</v>
      </c>
      <c r="G24" s="43">
        <f>G3/(Fin_Analysis!H86*G7)</f>
        <v>14.419065177262789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0.16693558551167018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1.1577420828564423E-2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57.503808433783583</v>
      </c>
      <c r="D29" s="54">
        <f>G29*(1+G20)</f>
        <v>104.69772054817253</v>
      </c>
      <c r="E29" s="3"/>
      <c r="F29" s="55">
        <f>IF(Fin_Analysis!C108="Profit",Fin_Analysis!F100,IF(Fin_Analysis!C108="Dividend",Fin_Analysis!F103,Fin_Analysis!F106))</f>
        <v>67.651539333863042</v>
      </c>
      <c r="G29" s="312">
        <f>IF(Fin_Analysis!C108="Profit",Fin_Analysis!I100,IF(Fin_Analysis!C108="Dividend",Fin_Analysis!I103,Fin_Analysis!I106))</f>
        <v>91.041496128845679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 t="str">
        <f>H14</f>
        <v/>
      </c>
      <c r="G3" s="144">
        <f>C14</f>
        <v>145105.66666666666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941168</v>
      </c>
      <c r="D6" s="147">
        <f>IF(Inputs!D25="","",Inputs!D25)</f>
        <v>868687</v>
      </c>
      <c r="E6" s="147">
        <f>IF(Inputs!E25="","",Inputs!E25)</f>
        <v>853062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8.3437417619925291E-2</v>
      </c>
      <c r="D7" s="148">
        <f t="shared" si="1"/>
        <v>1.8316370908562307E-2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586323</v>
      </c>
      <c r="D8" s="149">
        <f>IF(Inputs!D26="","",Inputs!D26)</f>
        <v>549695</v>
      </c>
      <c r="E8" s="149">
        <f>IF(Inputs!E26="","",Inputs!E26)</f>
        <v>539450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354845</v>
      </c>
      <c r="D9" s="279">
        <f t="shared" si="2"/>
        <v>318992</v>
      </c>
      <c r="E9" s="279">
        <f t="shared" si="2"/>
        <v>313612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157126</v>
      </c>
      <c r="D10" s="149">
        <f>IF(Inputs!D27="","",Inputs!D27)</f>
        <v>145679</v>
      </c>
      <c r="E10" s="149">
        <f>IF(Inputs!E27="","",Inputs!E27)</f>
        <v>151721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52256</v>
      </c>
      <c r="D11" s="149">
        <f>IF(Inputs!D28="","",Inputs!D28)</f>
        <v>56744</v>
      </c>
      <c r="E11" s="149">
        <f>IF(Inputs!E28="","",Inputs!E28)</f>
        <v>55465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357.33333333333331</v>
      </c>
      <c r="D12" s="149">
        <f>IF(Inputs!D30="","",MAX(Inputs!D30,0)/(1-Fin_Analysis!$I$84))</f>
        <v>365.33333333333331</v>
      </c>
      <c r="E12" s="149">
        <f>IF(Inputs!E30="","",MAX(Inputs!E30,0)/(1-Fin_Analysis!$I$84))</f>
        <v>386.66666666666669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0.15417615841875909</v>
      </c>
      <c r="D13" s="300">
        <f t="shared" si="3"/>
        <v>0.13376931698835906</v>
      </c>
      <c r="E13" s="300">
        <f t="shared" si="3"/>
        <v>0.12430436865472068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145105.66666666666</v>
      </c>
      <c r="D14" s="302">
        <f t="shared" ref="D14:M14" si="4">IF(D6="","",D9-D10-MAX(D11,0)-MAX(D12,0))</f>
        <v>116203.66666666667</v>
      </c>
      <c r="E14" s="302">
        <f t="shared" si="4"/>
        <v>106039.33333333333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0.24871848564732596</v>
      </c>
      <c r="D15" s="304">
        <f t="shared" ref="D15:M15" si="5">IF(E14="","",IF(ABS(D14+E14)=ABS(D14)+ABS(E14),IF(D14&lt;0,-1,1)*(D14-E14)/E14,"Turn"))</f>
        <v>9.5854368504768764E-2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7947</v>
      </c>
      <c r="D17" s="149">
        <f>IF(Inputs!D29="","",Inputs!D29)</f>
        <v>5918</v>
      </c>
      <c r="E17" s="149">
        <f>IF(Inputs!E29="","",Inputs!E29)</f>
        <v>4909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137158.66666666666</v>
      </c>
      <c r="D22" s="283">
        <f t="shared" ref="D22:M22" si="8">IF(D6="","",D14-MAX(D16,0)-MAX(D17,0)-ABS(MAX(D21,0)-MAX(D19,0)))</f>
        <v>110285.66666666667</v>
      </c>
      <c r="E22" s="283">
        <f t="shared" si="8"/>
        <v>101130.33333333333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0.10929929619366574</v>
      </c>
      <c r="D23" s="148">
        <f t="shared" si="9"/>
        <v>9.5217552467114164E-2</v>
      </c>
      <c r="E23" s="148">
        <f t="shared" si="9"/>
        <v>8.8912353381114154E-2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102869</v>
      </c>
      <c r="D24" s="282">
        <f>IF(D6="","",D22*(1-Fin_Analysis!$I$84))</f>
        <v>82714.25</v>
      </c>
      <c r="E24" s="282">
        <f>IF(E6="","",E22*(1-Fin_Analysis!$I$84))</f>
        <v>75847.75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0.24366720365596012</v>
      </c>
      <c r="D25" s="152">
        <f t="shared" ref="D25:M25" si="10">IF(E24="","",IF(ABS(D24+E24)=ABS(D24)+ABS(E24),IF(D24&lt;0,-1,1)*(D24-E24)/E24,"Turn"))</f>
        <v>9.0530042090899196E-2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1764829</v>
      </c>
      <c r="D27" s="153">
        <f>IF(D34="","",D34+D30)</f>
        <v>1753044</v>
      </c>
      <c r="E27" s="153">
        <f t="shared" ref="E27:M27" si="20">IF(E34="","",E34+E30)</f>
        <v>1695553</v>
      </c>
      <c r="F27" s="153">
        <f t="shared" si="20"/>
        <v>1690218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143536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652230</v>
      </c>
      <c r="D30" s="149">
        <f>IF(Inputs!D37="","",Inputs!D37)</f>
        <v>630123</v>
      </c>
      <c r="E30" s="149">
        <f>IF(Inputs!E37="","",Inputs!E37)</f>
        <v>613360</v>
      </c>
      <c r="F30" s="149">
        <f>IF(Inputs!F37="","",Inputs!F37)</f>
        <v>606584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29001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141775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170776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1112599</v>
      </c>
      <c r="D34" s="149">
        <f>IF(Inputs!D41="","",Inputs!D41)</f>
        <v>1122921</v>
      </c>
      <c r="E34" s="149">
        <f>IF(Inputs!E41="","",Inputs!E41)</f>
        <v>1082193</v>
      </c>
      <c r="F34" s="149">
        <f>IF(Inputs!F41="","",Inputs!F41)</f>
        <v>1083634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115327</v>
      </c>
      <c r="D35" s="149">
        <f>IF(Inputs!D42="","",Inputs!D42)</f>
        <v>123406</v>
      </c>
      <c r="E35" s="149">
        <f>IF(Inputs!E42="","",Inputs!E42)</f>
        <v>124059</v>
      </c>
      <c r="F35" s="149">
        <f>IF(Inputs!F42="","",Inputs!F42)</f>
        <v>137491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769727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0.18851575515301744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0.62297379426414834</v>
      </c>
      <c r="D40" s="156">
        <f t="shared" si="34"/>
        <v>0.63278833457850758</v>
      </c>
      <c r="E40" s="156">
        <f t="shared" si="34"/>
        <v>0.63236904234393276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0.22247037723339511</v>
      </c>
      <c r="D41" s="151">
        <f t="shared" si="35"/>
        <v>0.23302179035717122</v>
      </c>
      <c r="E41" s="151">
        <f t="shared" si="35"/>
        <v>0.24287331987592931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8.4437634938714454E-3</v>
      </c>
      <c r="D43" s="151">
        <f t="shared" si="37"/>
        <v>6.8125803655401775E-3</v>
      </c>
      <c r="E43" s="151">
        <f t="shared" si="37"/>
        <v>5.7545641465684789E-3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3.796700836974199E-4</v>
      </c>
      <c r="D44" s="151">
        <f t="shared" si="38"/>
        <v>4.205580759621513E-4</v>
      </c>
      <c r="E44" s="151">
        <f t="shared" si="38"/>
        <v>4.5326912541722252E-4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0.14573239492488765</v>
      </c>
      <c r="D46" s="289">
        <f t="shared" si="40"/>
        <v>0.12695673662281889</v>
      </c>
      <c r="E46" s="289">
        <f t="shared" si="40"/>
        <v>0.1185498045081522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0.53329132737506013</v>
      </c>
      <c r="D48" s="159">
        <f t="shared" si="41"/>
        <v>0.49553063129048674</v>
      </c>
      <c r="E48" s="159">
        <f t="shared" si="41"/>
        <v>0.50311727206404044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0.15250837257535318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0.56508137615599019</v>
      </c>
      <c r="D53" s="156">
        <f t="shared" si="45"/>
        <v>0.57015967653977884</v>
      </c>
      <c r="E53" s="156">
        <f t="shared" si="45"/>
        <v>0.56508643492712995</v>
      </c>
      <c r="F53" s="156">
        <f t="shared" si="45"/>
        <v>0.55977572123832542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0.80314954482284784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5.7940195782986134E-2</v>
      </c>
      <c r="D55" s="151">
        <f t="shared" si="47"/>
        <v>5.3660644931193838E-2</v>
      </c>
      <c r="E55" s="151">
        <f t="shared" si="47"/>
        <v>4.8541321265297921E-2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0.14550259775333776</v>
      </c>
      <c r="D58" s="162">
        <f t="shared" si="49"/>
        <v>0.11626005279227092</v>
      </c>
      <c r="E58" s="162">
        <f t="shared" si="49"/>
        <v>0.11067275906432016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0.13753385903411172</v>
      </c>
      <c r="D59" s="162">
        <f t="shared" si="50"/>
        <v>0.1103391811695339</v>
      </c>
      <c r="E59" s="162">
        <f t="shared" si="50"/>
        <v>0.10554925859361355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1112599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997272</v>
      </c>
      <c r="K3" s="75"/>
    </row>
    <row r="4" spans="1:11" ht="15" customHeight="1" x14ac:dyDescent="0.35">
      <c r="B4" s="9" t="s">
        <v>21</v>
      </c>
      <c r="C4" s="3"/>
      <c r="D4" s="149">
        <f>Inputs!C42</f>
        <v>115327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1.7861245483467654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22288.814864184882</v>
      </c>
      <c r="E6" s="176">
        <f>1-D6/D3</f>
        <v>0.97996689295587636</v>
      </c>
      <c r="F6" s="3"/>
      <c r="G6" s="3"/>
      <c r="H6" s="2" t="s">
        <v>24</v>
      </c>
      <c r="I6" s="174">
        <f>(C24+C25)/I28</f>
        <v>1.7861245483467654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1.2427130628342313</v>
      </c>
      <c r="E7" s="173" t="str">
        <f>Dashboard!H3</f>
        <v>HKD</v>
      </c>
      <c r="H7" s="2" t="s">
        <v>25</v>
      </c>
      <c r="I7" s="174">
        <f>C24/I28</f>
        <v>1.1622796299942824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248125</v>
      </c>
      <c r="D11" s="264">
        <f>Inputs!D48</f>
        <v>0.9</v>
      </c>
      <c r="E11" s="182">
        <f t="shared" ref="E11:E22" si="0">C11*D11</f>
        <v>223312.5</v>
      </c>
      <c r="F11" s="266"/>
      <c r="G11" s="3"/>
      <c r="H11" s="9" t="s">
        <v>31</v>
      </c>
      <c r="I11" s="181">
        <f>Inputs!C73</f>
        <v>12749</v>
      </c>
      <c r="J11" s="3"/>
      <c r="K11" s="75"/>
    </row>
    <row r="12" spans="1:11" ht="11.65" x14ac:dyDescent="0.35">
      <c r="B12" s="2" t="s">
        <v>125</v>
      </c>
      <c r="C12" s="181">
        <f>Inputs!C49</f>
        <v>38299</v>
      </c>
      <c r="D12" s="264">
        <f>Inputs!D49</f>
        <v>0.8</v>
      </c>
      <c r="E12" s="182">
        <f t="shared" si="0"/>
        <v>30639.200000000001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143536</v>
      </c>
      <c r="D13" s="264">
        <f>Inputs!D50</f>
        <v>0.6</v>
      </c>
      <c r="E13" s="182">
        <f t="shared" si="0"/>
        <v>86121.599999999991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59949</v>
      </c>
      <c r="D14" s="264">
        <f>Inputs!D51</f>
        <v>0.6</v>
      </c>
      <c r="E14" s="182">
        <f t="shared" si="0"/>
        <v>35969.4</v>
      </c>
      <c r="F14" s="266"/>
      <c r="G14" s="3"/>
      <c r="H14" s="8" t="s">
        <v>35</v>
      </c>
      <c r="I14" s="184">
        <f>Inputs!C76</f>
        <v>16252</v>
      </c>
      <c r="J14" s="3"/>
      <c r="K14" s="185"/>
    </row>
    <row r="15" spans="1:11" ht="11.65" x14ac:dyDescent="0.35">
      <c r="B15" s="9" t="s">
        <v>36</v>
      </c>
      <c r="C15" s="181">
        <f>Inputs!C52</f>
        <v>262955</v>
      </c>
      <c r="D15" s="264">
        <f>Inputs!D52</f>
        <v>0.5</v>
      </c>
      <c r="E15" s="182">
        <f t="shared" si="0"/>
        <v>131477.5</v>
      </c>
      <c r="F15" s="266"/>
      <c r="G15" s="3"/>
      <c r="H15" s="2" t="s">
        <v>46</v>
      </c>
      <c r="I15" s="186">
        <f>SUM(I11:I14)</f>
        <v>29001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392506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489909</v>
      </c>
      <c r="D24" s="191">
        <f>IF(E24=0,0,E24/C24)</f>
        <v>0.76757663157851763</v>
      </c>
      <c r="E24" s="182">
        <f>SUM(E11:E14)</f>
        <v>376042.7</v>
      </c>
      <c r="F24" s="192">
        <f>E24/$E$28</f>
        <v>0.74094134578288706</v>
      </c>
      <c r="G24" s="3"/>
    </row>
    <row r="25" spans="2:10" ht="15" customHeight="1" x14ac:dyDescent="0.35">
      <c r="B25" s="189" t="s">
        <v>47</v>
      </c>
      <c r="C25" s="190">
        <f>SUM(C15:C17)</f>
        <v>262955</v>
      </c>
      <c r="D25" s="191">
        <f>IF(E25=0,0,E25/C25)</f>
        <v>0.5</v>
      </c>
      <c r="E25" s="182">
        <f>SUM(E15:E17)</f>
        <v>131477.5</v>
      </c>
      <c r="F25" s="192">
        <f>E25/$E$28</f>
        <v>0.25905865421711294</v>
      </c>
      <c r="G25" s="3"/>
      <c r="H25" s="189" t="s">
        <v>48</v>
      </c>
      <c r="I25" s="174">
        <f>E28/I28</f>
        <v>1.2040611425195786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12.966542533016103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1.2040611425195786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752864</v>
      </c>
      <c r="D28" s="196">
        <f>E28/C28</f>
        <v>0.67411936285969309</v>
      </c>
      <c r="E28" s="197">
        <f>SUM(E24:E27)</f>
        <v>507520.2</v>
      </c>
      <c r="F28" s="92"/>
      <c r="G28" s="3"/>
      <c r="H28" s="194" t="s">
        <v>15</v>
      </c>
      <c r="I28" s="167">
        <f>Inputs!C77</f>
        <v>421507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55686</v>
      </c>
      <c r="J30" s="3"/>
    </row>
    <row r="31" spans="2:10" ht="15" customHeight="1" x14ac:dyDescent="0.35">
      <c r="B31" s="9" t="s">
        <v>55</v>
      </c>
      <c r="C31" s="181">
        <f>Inputs!C61</f>
        <v>424073</v>
      </c>
      <c r="D31" s="264">
        <f>Inputs!D61</f>
        <v>0.6</v>
      </c>
      <c r="E31" s="182">
        <f t="shared" ref="E31:E42" si="1">C31*D31</f>
        <v>254443.8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86089</v>
      </c>
      <c r="J33" s="3"/>
    </row>
    <row r="34" spans="2:10" ht="11.65" x14ac:dyDescent="0.35">
      <c r="B34" s="9" t="s">
        <v>60</v>
      </c>
      <c r="C34" s="181">
        <f>Inputs!C64</f>
        <v>116102</v>
      </c>
      <c r="D34" s="264">
        <f>Inputs!D64</f>
        <v>0.4</v>
      </c>
      <c r="E34" s="182">
        <f t="shared" si="1"/>
        <v>46440.800000000003</v>
      </c>
      <c r="F34" s="266"/>
      <c r="G34" s="3"/>
      <c r="H34" s="2" t="s">
        <v>70</v>
      </c>
      <c r="I34" s="186">
        <f>SUM(I30:I33)</f>
        <v>141775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185161</v>
      </c>
      <c r="D38" s="264">
        <f>Inputs!D68</f>
        <v>0.1</v>
      </c>
      <c r="E38" s="182">
        <f t="shared" si="1"/>
        <v>18516.100000000002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26950</v>
      </c>
      <c r="D40" s="264">
        <f>Inputs!D70</f>
        <v>0.05</v>
      </c>
      <c r="E40" s="182">
        <f t="shared" si="1"/>
        <v>1347.5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259679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88948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424073</v>
      </c>
      <c r="D44" s="191">
        <f>IF(E44=0,0,E44/C44)</f>
        <v>0.6</v>
      </c>
      <c r="E44" s="182">
        <f>SUM(E30:E31)</f>
        <v>254443.8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116102</v>
      </c>
      <c r="D45" s="191">
        <f>IF(E45=0,0,E45/C45)</f>
        <v>0.4</v>
      </c>
      <c r="E45" s="182">
        <f>SUM(E32:E35)</f>
        <v>46440.800000000003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185161</v>
      </c>
      <c r="D46" s="191">
        <f>IF(E46=0,0,E46/C46)</f>
        <v>0.1</v>
      </c>
      <c r="E46" s="182">
        <f>E36+E37+E38+E39</f>
        <v>18516.100000000002</v>
      </c>
      <c r="F46" s="3"/>
      <c r="G46" s="3"/>
      <c r="H46" s="189" t="s">
        <v>73</v>
      </c>
      <c r="I46" s="174">
        <f>(E44+E24)/E64</f>
        <v>3.6918917178057806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286629</v>
      </c>
      <c r="D47" s="191">
        <f>IF(E47=0,0,E47/C47)</f>
        <v>4.7011991110459863E-3</v>
      </c>
      <c r="E47" s="182">
        <f>E40+E41+E42</f>
        <v>1347.5</v>
      </c>
      <c r="F47" s="3"/>
      <c r="G47" s="3"/>
      <c r="H47" s="189" t="s">
        <v>75</v>
      </c>
      <c r="I47" s="174">
        <f>(E44+E45+E24+E25)/$I$49</f>
        <v>1.2394474341873267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1011965</v>
      </c>
      <c r="D48" s="201">
        <f>E48/C48</f>
        <v>0.31695582357097324</v>
      </c>
      <c r="E48" s="202">
        <f>SUM(E30:E42)</f>
        <v>320748.19999999995</v>
      </c>
      <c r="F48" s="3"/>
      <c r="G48" s="3"/>
      <c r="H48" s="96" t="s">
        <v>77</v>
      </c>
      <c r="I48" s="203">
        <f>I49-I28</f>
        <v>230723</v>
      </c>
      <c r="J48" s="193"/>
    </row>
    <row r="49" spans="2:11" ht="15" customHeight="1" thickTop="1" x14ac:dyDescent="0.35">
      <c r="B49" s="9" t="s">
        <v>13</v>
      </c>
      <c r="C49" s="190">
        <f>Inputs!C41+Inputs!C37</f>
        <v>1764829</v>
      </c>
      <c r="D49" s="176">
        <f>E49/C49</f>
        <v>0.46931935048664764</v>
      </c>
      <c r="E49" s="182">
        <f>E28+E48</f>
        <v>828268.39999999991</v>
      </c>
      <c r="F49" s="3"/>
      <c r="G49" s="3"/>
      <c r="H49" s="9" t="s">
        <v>78</v>
      </c>
      <c r="I49" s="181">
        <f>Inputs!C37</f>
        <v>652230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115327</v>
      </c>
      <c r="D53" s="34">
        <f>IF(E53=0, 0,E53/C53)</f>
        <v>1.3331620967840576</v>
      </c>
      <c r="E53" s="182">
        <f>IF(C53=0,0,MAX(C53,C53*Dashboard!G23))</f>
        <v>153749.58513581502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170776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746977</v>
      </c>
      <c r="D61" s="176">
        <f t="shared" ref="D61:D70" si="2">IF(E61=0,0,E61/C61)</f>
        <v>0.56479744356251926</v>
      </c>
      <c r="E61" s="188">
        <f>E14+E15+(E19*G19)+(E20*G20)+E31+E32+(E35*G35)+(E36*G36)+(E37*G37)</f>
        <v>421890.69999999995</v>
      </c>
      <c r="F61" s="3"/>
      <c r="G61" s="3"/>
      <c r="H61" s="2" t="s">
        <v>256</v>
      </c>
      <c r="I61" s="209">
        <f>C99*Data!$C$4/Common_Shares</f>
        <v>9.8150224932759276</v>
      </c>
      <c r="K61" s="178"/>
    </row>
    <row r="62" spans="2:11" ht="11.65" x14ac:dyDescent="0.35">
      <c r="B62" s="12" t="s">
        <v>129</v>
      </c>
      <c r="C62" s="210">
        <f>C11+C30</f>
        <v>248125</v>
      </c>
      <c r="D62" s="211">
        <f t="shared" si="2"/>
        <v>0.9</v>
      </c>
      <c r="E62" s="212">
        <f>E11+E30</f>
        <v>223312.5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995102</v>
      </c>
      <c r="D63" s="34">
        <f t="shared" si="2"/>
        <v>0.64837896014679897</v>
      </c>
      <c r="E63" s="190">
        <f>E61+E62</f>
        <v>645203.19999999995</v>
      </c>
      <c r="F63" s="3"/>
      <c r="G63" s="3"/>
      <c r="H63" s="2" t="s">
        <v>257</v>
      </c>
      <c r="I63" s="213">
        <f>IF(I61&gt;0,FV(I62,D93,0,-I61),I61)</f>
        <v>10.736024315736632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170776</v>
      </c>
      <c r="F64" s="3"/>
      <c r="G64" s="3"/>
      <c r="H64" s="2" t="s">
        <v>258</v>
      </c>
      <c r="I64" s="213">
        <f>IF(I61&gt;0,PV(C94,D93,0,-I63),I61)</f>
        <v>5.3377015193809951</v>
      </c>
      <c r="K64" s="178"/>
    </row>
    <row r="65" spans="1:11" ht="12" thickTop="1" x14ac:dyDescent="0.35">
      <c r="B65" s="9" t="s">
        <v>132</v>
      </c>
      <c r="C65" s="208">
        <f>C63-E64</f>
        <v>824326</v>
      </c>
      <c r="D65" s="34">
        <f t="shared" si="2"/>
        <v>0.57553346612869172</v>
      </c>
      <c r="E65" s="190">
        <f>E63-E64</f>
        <v>474427.19999999995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769727</v>
      </c>
      <c r="D68" s="34">
        <f t="shared" si="2"/>
        <v>0.23783133500578771</v>
      </c>
      <c r="E68" s="208">
        <f>E49-E63</f>
        <v>183065.19999999995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481454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288273</v>
      </c>
      <c r="D70" s="34">
        <f t="shared" si="2"/>
        <v>-1.0350910421718302</v>
      </c>
      <c r="E70" s="208">
        <f>E68-E69</f>
        <v>-298388.80000000005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941168</v>
      </c>
      <c r="D74" s="103"/>
      <c r="E74" s="262">
        <f>Inputs!E91</f>
        <v>941168</v>
      </c>
      <c r="F74" s="103"/>
      <c r="H74" s="262">
        <f>Inputs!F91</f>
        <v>941168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586323</v>
      </c>
      <c r="D75" s="106">
        <f>C75/$C$74</f>
        <v>0.62297379426414834</v>
      </c>
      <c r="E75" s="262">
        <f>Inputs!E92</f>
        <v>586323</v>
      </c>
      <c r="F75" s="217">
        <f>E75/E74</f>
        <v>0.62297379426414834</v>
      </c>
      <c r="H75" s="262">
        <f>Inputs!F92</f>
        <v>586323</v>
      </c>
      <c r="I75" s="217">
        <f>H75/$H$74</f>
        <v>0.62297379426414834</v>
      </c>
      <c r="K75" s="75"/>
    </row>
    <row r="76" spans="1:11" ht="15" customHeight="1" x14ac:dyDescent="0.35">
      <c r="B76" s="12" t="s">
        <v>87</v>
      </c>
      <c r="C76" s="150">
        <f>C74-C75</f>
        <v>354845</v>
      </c>
      <c r="D76" s="218"/>
      <c r="E76" s="219">
        <f>E74-E75</f>
        <v>354845</v>
      </c>
      <c r="F76" s="218"/>
      <c r="H76" s="219">
        <f>H74-H75</f>
        <v>354845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209382</v>
      </c>
      <c r="D77" s="106">
        <f>C77/$C$74</f>
        <v>0.22247037723339511</v>
      </c>
      <c r="E77" s="262">
        <f>Inputs!E93</f>
        <v>209382</v>
      </c>
      <c r="F77" s="217">
        <f>E77/E74</f>
        <v>0.22247037723339511</v>
      </c>
      <c r="H77" s="262">
        <f>Inputs!F93</f>
        <v>209382</v>
      </c>
      <c r="I77" s="217">
        <f>H77/$H$74</f>
        <v>0.22247037723339511</v>
      </c>
      <c r="K77" s="75"/>
    </row>
    <row r="78" spans="1:11" ht="15" customHeight="1" x14ac:dyDescent="0.35">
      <c r="B78" s="98" t="s">
        <v>152</v>
      </c>
      <c r="C78" s="102">
        <f>MAX(Data!C12,0)</f>
        <v>357.33333333333331</v>
      </c>
      <c r="D78" s="106">
        <f>C78/$C$74</f>
        <v>3.796700836974199E-4</v>
      </c>
      <c r="E78" s="220">
        <f>E74*F78</f>
        <v>357.33333333333331</v>
      </c>
      <c r="F78" s="217">
        <f>I78</f>
        <v>3.796700836974199E-4</v>
      </c>
      <c r="H78" s="262">
        <f>Inputs!F97</f>
        <v>357.33333333333331</v>
      </c>
      <c r="I78" s="217">
        <f>H78/$H$74</f>
        <v>3.796700836974199E-4</v>
      </c>
      <c r="K78" s="75"/>
    </row>
    <row r="79" spans="1:11" ht="15" customHeight="1" x14ac:dyDescent="0.35">
      <c r="B79" s="221" t="s">
        <v>205</v>
      </c>
      <c r="C79" s="222">
        <f>C76-C77-C78</f>
        <v>145105.66666666666</v>
      </c>
      <c r="D79" s="223">
        <f>C79/C74</f>
        <v>0.15417615841875909</v>
      </c>
      <c r="E79" s="224">
        <f>E76-E77-E78</f>
        <v>145105.66666666666</v>
      </c>
      <c r="F79" s="223">
        <f>E79/E74</f>
        <v>0.15417615841875909</v>
      </c>
      <c r="G79" s="225"/>
      <c r="H79" s="224">
        <f>H76-H77-H78</f>
        <v>145105.66666666666</v>
      </c>
      <c r="I79" s="223">
        <f>H79/H74</f>
        <v>0.15417615841875909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7947</v>
      </c>
      <c r="D81" s="106">
        <f>C81/$C$74</f>
        <v>8.4437634938714454E-3</v>
      </c>
      <c r="E81" s="220">
        <f>E74*F81</f>
        <v>7947.0000000000009</v>
      </c>
      <c r="F81" s="217">
        <f>I81</f>
        <v>8.4437634938714454E-3</v>
      </c>
      <c r="H81" s="262">
        <f>Inputs!F94</f>
        <v>7947.0000000000009</v>
      </c>
      <c r="I81" s="217">
        <f>H81/$H$74</f>
        <v>8.4437634938714454E-3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137158.66666666666</v>
      </c>
      <c r="D83" s="229">
        <f>C83/$C$74</f>
        <v>0.14573239492488765</v>
      </c>
      <c r="E83" s="230">
        <f>E79-E81-E82-E80</f>
        <v>137158.66666666666</v>
      </c>
      <c r="F83" s="229">
        <f>E83/E74</f>
        <v>0.14573239492488765</v>
      </c>
      <c r="H83" s="230">
        <f>H79-H81-H82-H80</f>
        <v>137158.66666666666</v>
      </c>
      <c r="I83" s="229">
        <f>H83/$H$74</f>
        <v>0.14573239492488765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102869</v>
      </c>
      <c r="D85" s="223">
        <f>C85/$C$74</f>
        <v>0.10929929619366574</v>
      </c>
      <c r="E85" s="235">
        <f>E83*(1-F84)</f>
        <v>102869</v>
      </c>
      <c r="F85" s="223">
        <f>E85/E74</f>
        <v>0.10929929619366574</v>
      </c>
      <c r="G85" s="225"/>
      <c r="H85" s="235">
        <f>H83*(1-I84)</f>
        <v>102869</v>
      </c>
      <c r="I85" s="223">
        <f>H85/$H$74</f>
        <v>0.10929929619366574</v>
      </c>
      <c r="K85" s="75"/>
    </row>
    <row r="86" spans="1:11" ht="15" customHeight="1" x14ac:dyDescent="0.35">
      <c r="B86" s="3" t="s">
        <v>145</v>
      </c>
      <c r="C86" s="236">
        <f>C85*Data!C4/Common_Shares</f>
        <v>5.3913010652667737</v>
      </c>
      <c r="D86" s="103"/>
      <c r="E86" s="237">
        <f>E85*Data!C4/Common_Shares</f>
        <v>5.3913010652667737</v>
      </c>
      <c r="F86" s="103"/>
      <c r="H86" s="237">
        <f>H85*Data!C4/Common_Shares</f>
        <v>5.3913010652667737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6.9352623606756786E-2</v>
      </c>
      <c r="D87" s="103"/>
      <c r="E87" s="239">
        <f>E86*Exchange_Rate/Dashboard!G3</f>
        <v>6.9352623606756786E-2</v>
      </c>
      <c r="F87" s="103"/>
      <c r="H87" s="239">
        <f>H86*Exchange_Rate/Dashboard!G3</f>
        <v>6.9352623606756786E-2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0.9</v>
      </c>
      <c r="D88" s="241">
        <f>C88/C86</f>
        <v>0.16693558551167018</v>
      </c>
      <c r="E88" s="261">
        <f>Inputs!E98</f>
        <v>0.9</v>
      </c>
      <c r="F88" s="241">
        <f>E88/E86</f>
        <v>0.16693558551167018</v>
      </c>
      <c r="H88" s="261">
        <f>Inputs!F98</f>
        <v>0.9</v>
      </c>
      <c r="I88" s="241">
        <f>H88/H86</f>
        <v>0.16693558551167018</v>
      </c>
      <c r="K88" s="75"/>
    </row>
    <row r="89" spans="1:11" ht="15" customHeight="1" x14ac:dyDescent="0.35">
      <c r="B89" s="3" t="s">
        <v>195</v>
      </c>
      <c r="C89" s="238">
        <f>C88*Exchange_Rate/Dashboard!G3</f>
        <v>1.1577420828564423E-2</v>
      </c>
      <c r="D89" s="103"/>
      <c r="E89" s="238">
        <f>E88*Exchange_Rate/Dashboard!G3</f>
        <v>1.1577420828564423E-2</v>
      </c>
      <c r="F89" s="103"/>
      <c r="H89" s="238">
        <f>H88*Exchange_Rate/Dashboard!G3</f>
        <v>1.1577420828564423E-2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142.57736175526063</v>
      </c>
      <c r="H93" s="3" t="s">
        <v>184</v>
      </c>
      <c r="I93" s="243">
        <f>FV(H87,D93,0,-(H86/(C93-D94)))*Exchange_Rate</f>
        <v>142.57736175526063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18.029780418149468</v>
      </c>
      <c r="H94" s="3" t="s">
        <v>185</v>
      </c>
      <c r="I94" s="243">
        <f>FV(H89,D93,0,-(H88/(C93-D94)))*Exchange_Rate</f>
        <v>18.029780418149468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1352546.8143332552</v>
      </c>
      <c r="D97" s="250"/>
      <c r="E97" s="251">
        <f>PV(C94,D93,0,-F93)</f>
        <v>70.886147244923734</v>
      </c>
      <c r="F97" s="250"/>
      <c r="H97" s="251">
        <f>PV(C94,D93,0,-I93)</f>
        <v>70.886147244923734</v>
      </c>
      <c r="I97" s="251">
        <f>PV(C93,D93,0,-I93)</f>
        <v>94.276104039906372</v>
      </c>
      <c r="K97" s="75"/>
    </row>
    <row r="98" spans="2:11" ht="15" customHeight="1" x14ac:dyDescent="0.35">
      <c r="B98" s="18" t="s">
        <v>134</v>
      </c>
      <c r="C98" s="249">
        <f>-E53*Exchange_Rate</f>
        <v>-163564.39533329458</v>
      </c>
      <c r="D98" s="250"/>
      <c r="E98" s="250"/>
      <c r="F98" s="250"/>
      <c r="H98" s="251">
        <f>C98*Data!$C$4/Common_Shares</f>
        <v>-8.5723094304416954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187276.04647521963</v>
      </c>
      <c r="D99" s="254"/>
      <c r="E99" s="255">
        <f>IF(H99&gt;0,I64,H99)</f>
        <v>5.3377015193809951</v>
      </c>
      <c r="F99" s="254"/>
      <c r="H99" s="255">
        <f>I64</f>
        <v>5.3377015193809951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57.503808433783583</v>
      </c>
      <c r="E100" s="257">
        <f>MAX(E97+H98+E99,0)</f>
        <v>67.651539333863042</v>
      </c>
      <c r="F100" s="257">
        <f>(E100+H100)/2</f>
        <v>67.651539333863042</v>
      </c>
      <c r="H100" s="257">
        <f>MAX(H97+H98+H99,0)</f>
        <v>67.651539333863042</v>
      </c>
      <c r="I100" s="257">
        <f>MAX(I97+H98+H99,0)</f>
        <v>91.041496128845679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7.6193892614744989</v>
      </c>
      <c r="E103" s="251">
        <f>PV(C94,D93,0,-F94)</f>
        <v>8.9639873664405876</v>
      </c>
      <c r="F103" s="257">
        <f>(E103+H103)/2</f>
        <v>8.9639873664405876</v>
      </c>
      <c r="H103" s="251">
        <f>PV(C94,D93,0,-I94)</f>
        <v>8.9639873664405876</v>
      </c>
      <c r="I103" s="257">
        <f>PV(C93,D93,0,-I94)</f>
        <v>11.921790623646531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32.561598847629043</v>
      </c>
      <c r="E106" s="251">
        <f>(E100+E103)/2</f>
        <v>38.307763350151816</v>
      </c>
      <c r="F106" s="257">
        <f>(F100+F103)/2</f>
        <v>38.307763350151816</v>
      </c>
      <c r="H106" s="251">
        <f>(H100+H103)/2</f>
        <v>38.307763350151816</v>
      </c>
      <c r="I106" s="251">
        <f>(I100+I103)/2</f>
        <v>51.481643376246105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