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templates\"/>
    </mc:Choice>
  </mc:AlternateContent>
  <xr:revisionPtr revIDLastSave="0" documentId="13_ncr:1_{5990F19F-F229-4956-B439-30E36EDFADAC}" xr6:coauthVersionLast="47" xr6:coauthVersionMax="47" xr10:uidLastSave="{00000000-0000-0000-0000-000000000000}"/>
  <bookViews>
    <workbookView xWindow="33720" yWindow="-120" windowWidth="29040" windowHeight="15720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" i="1" l="1"/>
  <c r="D93" i="3" l="1"/>
  <c r="F98" i="4"/>
  <c r="E98" i="4" s="1"/>
  <c r="F94" i="4"/>
  <c r="F93" i="4"/>
  <c r="F91" i="4"/>
  <c r="F92" i="4" s="1"/>
  <c r="E91" i="4"/>
  <c r="E93" i="4" s="1"/>
  <c r="E92" i="4" l="1"/>
  <c r="F97" i="4"/>
  <c r="F96" i="4"/>
  <c r="B11" i="5" l="1"/>
  <c r="D69" i="4"/>
  <c r="D68" i="4"/>
  <c r="D62" i="4"/>
  <c r="D63" i="4" s="1"/>
  <c r="D61" i="4"/>
  <c r="D60" i="4"/>
  <c r="D59" i="4"/>
  <c r="D58" i="4"/>
  <c r="D71" i="4" s="1"/>
  <c r="D55" i="4"/>
  <c r="D50" i="4"/>
  <c r="D56" i="4" s="1"/>
  <c r="D53" i="4" l="1"/>
  <c r="B47" i="4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F95" i="4" l="1"/>
  <c r="E95" i="4"/>
  <c r="E82" i="3" s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<sst xmlns="http://schemas.openxmlformats.org/spreadsheetml/2006/main" count="403" uniqueCount="286">
  <si>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</si>
  <si>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</si>
  <si>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</si>
  <si>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</si>
  <si>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</si>
  <si>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</si>
  <si>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</si>
  <si>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</si>
  <si>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</si>
  <si>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</si>
  <si>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</si>
  <si>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</si>
  <si>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</si>
  <si>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</si>
  <si>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</si>
  <si>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</si>
  <si>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</si>
  <si>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</si>
  <si>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</si>
  <si>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</si>
  <si>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</si>
  <si>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</si>
  <si>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</si>
  <si>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</si>
  <si>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</si>
  <si>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</si>
  <si>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</si>
  <si>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</si>
  <si>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</si>
  <si>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</si>
  <si>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</si>
  <si>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</si>
  <si>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</si>
  <si>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</si>
  <si>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</si>
  <si>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</si>
  <si>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</si>
  <si>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</si>
  <si>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</si>
  <si>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</si>
  <si>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</si>
  <si>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</si>
  <si>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</si>
  <si>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</si>
  <si>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</si>
  <si>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</si>
  <si>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</si>
  <si>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</si>
  <si>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</si>
  <si>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</si>
  <si>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</si>
  <si>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</si>
  <si>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</si>
  <si>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</si>
  <si>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</si>
  <si>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</si>
  <si>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</si>
  <si>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</si>
  <si>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</si>
  <si>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</si>
  <si>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</si>
  <si>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</si>
  <si>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</si>
  <si>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</si>
  <si>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</si>
  <si>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</si>
  <si>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</si>
  <si>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</si>
  <si>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</si>
  <si>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</si>
  <si>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</si>
  <si>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</si>
  <si>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</si>
  <si>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</si>
  <si>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</si>
  <si>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</si>
  <si>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</si>
  <si>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</si>
  <si>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</si>
  <si>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</si>
  <si>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</si>
  <si>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</si>
  <si>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</si>
  <si>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</si>
  <si>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</si>
  <si>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</si>
  <si>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</si>
  <si>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</si>
  <si>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</si>
  <si>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</si>
  <si>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</si>
  <si>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</si>
  <si>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</si>
  <si>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</si>
  <si>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</si>
  <si>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</si>
  <si>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</si>
  <si>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</si>
  <si>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</si>
  <si>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</si>
  <si>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</si>
  <si>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</si>
  <si>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</si>
  <si>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</si>
  <si>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</si>
  <si>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</si>
  <si>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</si>
  <si>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</si>
  <si>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</si>
  <si>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</si>
  <si>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</si>
  <si>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</si>
  <si>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</si>
  <si>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</si>
  <si>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</si>
  <si>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</si>
  <si>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</si>
  <si>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</si>
  <si>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</si>
  <si>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</si>
  <si>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</si>
  <si>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</si>
  <si>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</si>
  <si>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</si>
  <si>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</si>
  <si>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</si>
  <si>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</si>
  <si>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</si>
  <si>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</si>
  <si>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</si>
  <si>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</si>
  <si>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</si>
  <si>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</si>
  <si>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</si>
  <si>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</si>
  <si>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</si>
  <si>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</si>
  <si>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</si>
  <si>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</si>
  <si>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</si>
  <si>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</si>
  <si>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</si>
  <si>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</si>
  <si>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</si>
  <si>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</si>
  <si>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</si>
  <si>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</si>
  <si>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</si>
  <si>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</si>
  <si>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</si>
  <si>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</si>
  <si>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</si>
  <si>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</si>
  <si>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</si>
  <si>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</si>
  <si>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</si>
  <si>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</si>
  <si>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</si>
  <si>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</si>
  <si>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</si>
  <si>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</si>
  <si>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</si>
  <si>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</si>
  <si>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</si>
  <si>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</si>
  <si>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</si>
  <si>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</si>
  <si>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</si>
  <si>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</si>
  <si>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</si>
  <si>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</si>
  <si>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</si>
  <si>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</si>
  <si>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</si>
  <si>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</si>
  <si>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</si>
  <si>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</si>
  <si>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</si>
  <si>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</si>
  <si>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</si>
  <si>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</si>
  <si>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</si>
  <si>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</si>
  <si>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</si>
  <si>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</si>
  <si>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</si>
  <si>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</si>
  <si>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</si>
  <si>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</si>
  <si>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</si>
  <si>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</si>
  <si>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</si>
  <si>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</si>
  <si>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</si>
  <si>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</si>
  <si>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</si>
  <si>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</si>
  <si>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</si>
  <si>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</si>
  <si>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</si>
  <si>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</si>
  <si>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</si>
  <si>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</si>
  <si>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</si>
  <si>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</si>
  <si>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</si>
  <si>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</si>
  <si>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</si>
  <si>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</si>
  <si>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</si>
  <si>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</si>
  <si>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</si>
  <si>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</si>
  <si>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</si>
  <si>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</si>
  <si>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</si>
  <si>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</si>
  <si>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</si>
  <si>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</si>
  <si>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</si>
  <si>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</si>
  <si>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</si>
  <si>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</si>
  <si>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</si>
  <si>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</si>
  <si>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</si>
  <si>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</si>
  <si>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</si>
  <si>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</si>
  <si>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</si>
  <si>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</si>
  <si>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</si>
  <si>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</si>
  <si>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</si>
  <si>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</si>
  <si>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</si>
  <si>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</si>
  <si>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</si>
  <si>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</si>
  <si>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</si>
  <si>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</si>
  <si>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</si>
  <si>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</si>
  <si>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</si>
  <si>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</si>
  <si>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</si>
  <si>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</si>
  <si>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</si>
  <si>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</si>
  <si>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</si>
  <si>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</si>
  <si>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</si>
  <si>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</si>
  <si>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</si>
  <si>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</si>
  <si>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</si>
  <si>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</si>
  <si>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</si>
  <si>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</si>
  <si>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</si>
  <si>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</si>
  <si>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</si>
  <si>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</si>
  <si>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</si>
  <si>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</si>
  <si>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</si>
  <si>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</si>
  <si>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</si>
  <si>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</si>
  <si>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</si>
  <si>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</si>
  <si>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</si>
  <si>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</si>
  <si>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</si>
  <si>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</si>
  <si>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</si>
  <si>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</si>
  <si>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</si>
  <si>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Template</t>
  </si>
  <si>
    <t>C0003</t>
  </si>
  <si>
    <t>CN</t>
  </si>
  <si>
    <t>Unclear</t>
  </si>
  <si>
    <t>Profit</t>
  </si>
  <si>
    <t>0590.HK</t>
    <phoneticPr fontId="3" type="noConversion"/>
  </si>
  <si>
    <t>Reinvest Nonop @</t>
    <phoneticPr fontId="3" type="noConversion"/>
  </si>
  <si>
    <t>PlaceHolder_5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</si>
</sst>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0" fontId="10" fillId="0" borderId="4" xfId="0" applyNumberFormat="1" applyFont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zoomScaleNormal="100" workbookViewId="0">
      <selection activeCell="E9" sqref="E9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283</v>
      </c>
      <c r="D4" s="66"/>
    </row>
    <row r="5" spans="1:5" x14ac:dyDescent="0.35">
      <c r="B5" s="46" t="s">
        <v>171</v>
      </c>
      <c r="C5" s="67" t="s">
        <v>278</v>
      </c>
    </row>
    <row r="6" spans="1:5" x14ac:dyDescent="0.35">
      <c r="B6" s="46" t="s">
        <v>272</v>
      </c>
      <c r="C6" s="68">
        <v>45624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64</v>
      </c>
    </row>
    <row r="9" spans="1:5" x14ac:dyDescent="0.35">
      <c r="B9" s="39" t="s">
        <v>192</v>
      </c>
      <c r="C9" s="124" t="s">
        <v>279</v>
      </c>
    </row>
    <row r="10" spans="1:5" x14ac:dyDescent="0.35">
      <c r="B10" s="39" t="s">
        <v>193</v>
      </c>
      <c r="C10" s="70">
        <v>587107850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195</v>
      </c>
      <c r="C14" s="72">
        <v>45473</v>
      </c>
    </row>
    <row r="15" spans="1:5" x14ac:dyDescent="0.35">
      <c r="B15" s="71" t="s">
        <v>224</v>
      </c>
      <c r="C15" s="122" t="s">
        <v>280</v>
      </c>
    </row>
    <row r="16" spans="1:5" x14ac:dyDescent="0.35">
      <c r="B16" s="74" t="s">
        <v>89</v>
      </c>
      <c r="C16" s="125">
        <v>0.25</v>
      </c>
      <c r="D16" s="75"/>
      <c r="E16" s="25" t="s">
        <v>255</v>
      </c>
    </row>
    <row r="17" spans="2:13" x14ac:dyDescent="0.35">
      <c r="B17" s="56" t="s">
        <v>199</v>
      </c>
      <c r="C17" s="126" t="s">
        <v>217</v>
      </c>
      <c r="D17" s="75"/>
    </row>
    <row r="18" spans="2:13" x14ac:dyDescent="0.35">
      <c r="B18" s="56" t="s">
        <v>212</v>
      </c>
      <c r="C18" s="126" t="s">
        <v>217</v>
      </c>
      <c r="D18" s="75"/>
    </row>
    <row r="19" spans="2:13" x14ac:dyDescent="0.35">
      <c r="B19" s="56" t="s">
        <v>213</v>
      </c>
      <c r="C19" s="126" t="s">
        <v>217</v>
      </c>
      <c r="D19" s="75"/>
    </row>
    <row r="20" spans="2:13" x14ac:dyDescent="0.35">
      <c r="B20" s="57" t="s">
        <v>202</v>
      </c>
      <c r="C20" s="126" t="s">
        <v>217</v>
      </c>
      <c r="D20" s="75"/>
    </row>
    <row r="21" spans="2:13" x14ac:dyDescent="0.35">
      <c r="B21" s="2" t="s">
        <v>205</v>
      </c>
      <c r="C21" s="126" t="s">
        <v>217</v>
      </c>
      <c r="D21" s="75"/>
    </row>
    <row r="22" spans="2:13" ht="69.75" x14ac:dyDescent="0.35">
      <c r="B22" s="59" t="s">
        <v>204</v>
      </c>
      <c r="C22" s="127" t="s">
        <v>281</v>
      </c>
      <c r="D22" s="75"/>
    </row>
    <row r="24" spans="2:13" x14ac:dyDescent="0.35">
      <c r="B24" s="76" t="s">
        <v>124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12</v>
      </c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98</v>
      </c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96</v>
      </c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225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103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102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247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246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252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221</v>
      </c>
      <c r="C45" s="87" t="str">
        <f>IF(C44="","",C44*Exchange_Rate/Dashboard!$G$3)</f>
        <v/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/>
      <c r="D48" s="114">
        <v>0.9</v>
      </c>
      <c r="E48" s="266"/>
    </row>
    <row r="49" spans="2:5" x14ac:dyDescent="0.35">
      <c r="B49" s="2" t="s">
        <v>126</v>
      </c>
      <c r="C49" s="91"/>
      <c r="D49" s="114">
        <v>0.8</v>
      </c>
      <c r="E49" s="266"/>
    </row>
    <row r="50" spans="2:5" x14ac:dyDescent="0.35">
      <c r="B50" s="9" t="s">
        <v>108</v>
      </c>
      <c r="C50" s="91"/>
      <c r="D50" s="114">
        <f>D51</f>
        <v>0.6</v>
      </c>
      <c r="E50" s="266"/>
    </row>
    <row r="51" spans="2:5" x14ac:dyDescent="0.35">
      <c r="B51" s="9" t="s">
        <v>35</v>
      </c>
      <c r="C51" s="91"/>
      <c r="D51" s="114">
        <v>0.6</v>
      </c>
      <c r="E51" s="266"/>
    </row>
    <row r="52" spans="2:5" x14ac:dyDescent="0.35">
      <c r="B52" s="9" t="s">
        <v>37</v>
      </c>
      <c r="C52" s="91"/>
      <c r="D52" s="114">
        <v>0.5</v>
      </c>
      <c r="E52" s="266"/>
    </row>
    <row r="53" spans="2:5" x14ac:dyDescent="0.35">
      <c r="B53" s="2" t="s">
        <v>144</v>
      </c>
      <c r="C53" s="91"/>
      <c r="D53" s="114">
        <f>D50</f>
        <v>0.6</v>
      </c>
      <c r="E53" s="266"/>
    </row>
    <row r="54" spans="2:5" x14ac:dyDescent="0.35">
      <c r="B54" s="9" t="s">
        <v>229</v>
      </c>
      <c r="C54" s="91"/>
      <c r="D54" s="114">
        <v>0.1</v>
      </c>
      <c r="E54" s="266"/>
    </row>
    <row r="55" spans="2:5" x14ac:dyDescent="0.35">
      <c r="B55" s="9" t="s">
        <v>40</v>
      </c>
      <c r="C55" s="91"/>
      <c r="D55" s="114">
        <f>D52</f>
        <v>0.5</v>
      </c>
      <c r="E55" s="266"/>
    </row>
    <row r="56" spans="2:5" x14ac:dyDescent="0.35">
      <c r="B56" s="2" t="s">
        <v>41</v>
      </c>
      <c r="C56" s="91"/>
      <c r="D56" s="114">
        <f>D50</f>
        <v>0.6</v>
      </c>
      <c r="E56" s="267" t="s">
        <v>39</v>
      </c>
    </row>
    <row r="57" spans="2:5" x14ac:dyDescent="0.35">
      <c r="B57" s="9" t="s">
        <v>111</v>
      </c>
      <c r="C57" s="91"/>
      <c r="D57" s="114">
        <v>0.6</v>
      </c>
      <c r="E57" s="267" t="s">
        <v>39</v>
      </c>
    </row>
    <row r="58" spans="2:5" x14ac:dyDescent="0.35">
      <c r="B58" s="9" t="s">
        <v>43</v>
      </c>
      <c r="C58" s="91"/>
      <c r="D58" s="114">
        <f>D48</f>
        <v>0.9</v>
      </c>
      <c r="E58" s="266"/>
    </row>
    <row r="59" spans="2:5" x14ac:dyDescent="0.35">
      <c r="B59" s="12" t="s">
        <v>44</v>
      </c>
      <c r="C59" s="93"/>
      <c r="D59" s="115">
        <f>D70</f>
        <v>0.05</v>
      </c>
      <c r="E59" s="266"/>
    </row>
    <row r="60" spans="2:5" x14ac:dyDescent="0.35">
      <c r="B60" s="9" t="s">
        <v>54</v>
      </c>
      <c r="C60" s="91"/>
      <c r="D60" s="114">
        <f>D49</f>
        <v>0.8</v>
      </c>
      <c r="E60" s="266"/>
    </row>
    <row r="61" spans="2:5" x14ac:dyDescent="0.35">
      <c r="B61" s="9" t="s">
        <v>56</v>
      </c>
      <c r="C61" s="91"/>
      <c r="D61" s="114">
        <f>D51</f>
        <v>0.6</v>
      </c>
      <c r="E61" s="266"/>
    </row>
    <row r="62" spans="2:5" x14ac:dyDescent="0.35">
      <c r="B62" s="9" t="s">
        <v>58</v>
      </c>
      <c r="C62" s="91"/>
      <c r="D62" s="114">
        <f>D52</f>
        <v>0.5</v>
      </c>
      <c r="E62" s="266"/>
    </row>
    <row r="63" spans="2:5" x14ac:dyDescent="0.35">
      <c r="B63" s="2" t="s">
        <v>145</v>
      </c>
      <c r="C63" s="91"/>
      <c r="D63" s="114">
        <f>D62</f>
        <v>0.5</v>
      </c>
      <c r="E63" s="266"/>
    </row>
    <row r="64" spans="2:5" x14ac:dyDescent="0.35">
      <c r="B64" s="9" t="s">
        <v>228</v>
      </c>
      <c r="C64" s="91"/>
      <c r="D64" s="114">
        <v>0.4</v>
      </c>
      <c r="E64" s="266"/>
    </row>
    <row r="65" spans="2:5" x14ac:dyDescent="0.35">
      <c r="B65" s="9" t="s">
        <v>63</v>
      </c>
      <c r="C65" s="91"/>
      <c r="D65" s="114">
        <v>0.1</v>
      </c>
      <c r="E65" s="267" t="s">
        <v>64</v>
      </c>
    </row>
    <row r="66" spans="2:5" x14ac:dyDescent="0.35">
      <c r="B66" s="9" t="s">
        <v>65</v>
      </c>
      <c r="C66" s="91"/>
      <c r="D66" s="114">
        <v>0.3</v>
      </c>
      <c r="E66" s="267" t="s">
        <v>39</v>
      </c>
    </row>
    <row r="67" spans="2:5" x14ac:dyDescent="0.35">
      <c r="B67" s="2" t="s">
        <v>42</v>
      </c>
      <c r="C67" s="91"/>
      <c r="D67" s="114">
        <v>0.2</v>
      </c>
      <c r="E67" s="267" t="s">
        <v>39</v>
      </c>
    </row>
    <row r="68" spans="2:5" x14ac:dyDescent="0.35">
      <c r="B68" s="9" t="s">
        <v>110</v>
      </c>
      <c r="C68" s="91"/>
      <c r="D68" s="114">
        <f>D65</f>
        <v>0.1</v>
      </c>
      <c r="E68" s="266"/>
    </row>
    <row r="69" spans="2:5" x14ac:dyDescent="0.35">
      <c r="B69" s="9" t="s">
        <v>66</v>
      </c>
      <c r="C69" s="91"/>
      <c r="D69" s="114">
        <f>D70</f>
        <v>0.05</v>
      </c>
      <c r="E69" s="266"/>
    </row>
    <row r="70" spans="2:5" x14ac:dyDescent="0.35">
      <c r="B70" s="9" t="s">
        <v>67</v>
      </c>
      <c r="C70" s="91"/>
      <c r="D70" s="114">
        <v>0.05</v>
      </c>
      <c r="E70" s="266"/>
    </row>
    <row r="71" spans="2:5" x14ac:dyDescent="0.35">
      <c r="B71" s="9" t="s">
        <v>68</v>
      </c>
      <c r="C71" s="91"/>
      <c r="D71" s="114">
        <f>D58</f>
        <v>0.9</v>
      </c>
      <c r="E71" s="266"/>
    </row>
    <row r="72" spans="2:5" ht="12" thickBot="1" x14ac:dyDescent="0.4">
      <c r="B72" s="94" t="s">
        <v>69</v>
      </c>
      <c r="C72" s="95"/>
      <c r="D72" s="116">
        <v>0</v>
      </c>
      <c r="E72" s="268"/>
    </row>
    <row r="73" spans="2:5" x14ac:dyDescent="0.35">
      <c r="B73" s="9" t="s">
        <v>32</v>
      </c>
      <c r="C73" s="91"/>
    </row>
    <row r="74" spans="2:5" x14ac:dyDescent="0.35">
      <c r="B74" s="9" t="s">
        <v>33</v>
      </c>
      <c r="C74" s="91"/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/>
    </row>
    <row r="77" spans="2:5" ht="12" thickBot="1" x14ac:dyDescent="0.4">
      <c r="B77" s="96" t="s">
        <v>16</v>
      </c>
      <c r="C77" s="97"/>
    </row>
    <row r="78" spans="2:5" ht="12" thickTop="1" x14ac:dyDescent="0.35">
      <c r="B78" s="9" t="s">
        <v>55</v>
      </c>
      <c r="C78" s="91"/>
    </row>
    <row r="79" spans="2:5" x14ac:dyDescent="0.35">
      <c r="B79" s="9" t="s">
        <v>57</v>
      </c>
      <c r="C79" s="91"/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/>
    </row>
    <row r="82" spans="2:8" ht="12" hidden="1" thickBot="1" x14ac:dyDescent="0.4">
      <c r="B82" s="96" t="s">
        <v>250</v>
      </c>
      <c r="C82" s="84"/>
    </row>
    <row r="83" spans="2:8" ht="12" hidden="1" thickTop="1" x14ac:dyDescent="0.35">
      <c r="B83" s="98" t="s">
        <v>251</v>
      </c>
      <c r="C83" s="84"/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285</v>
      </c>
      <c r="C86" s="84"/>
      <c r="D86" s="305"/>
    </row>
    <row r="87" spans="2:8" x14ac:dyDescent="0.35">
      <c r="B87" s="88" t="s">
        <v>220</v>
      </c>
      <c r="C87" s="112" t="s">
        <v>282</v>
      </c>
      <c r="D87" s="113">
        <v>0.02</v>
      </c>
    </row>
    <row r="89" spans="2:8" x14ac:dyDescent="0.35">
      <c r="B89" s="99" t="s">
        <v>118</v>
      </c>
      <c r="C89" s="309">
        <f>C24</f>
        <v>45291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0</v>
      </c>
      <c r="D91" s="103"/>
      <c r="E91" s="104">
        <f>C91</f>
        <v>0</v>
      </c>
      <c r="F91" s="104">
        <f>C91</f>
        <v>0</v>
      </c>
    </row>
    <row r="92" spans="2:8" x14ac:dyDescent="0.35">
      <c r="B92" s="105" t="s">
        <v>98</v>
      </c>
      <c r="C92" s="102">
        <f>C26</f>
        <v>0</v>
      </c>
      <c r="D92" s="106" t="e">
        <f>C92/C91</f>
        <v>#DIV/0!</v>
      </c>
      <c r="E92" s="107" t="e">
        <f>E91*D92</f>
        <v>#DIV/0!</v>
      </c>
      <c r="F92" s="107" t="e">
        <f>F91*D92</f>
        <v>#DIV/0!</v>
      </c>
    </row>
    <row r="93" spans="2:8" x14ac:dyDescent="0.35">
      <c r="B93" s="105" t="s">
        <v>219</v>
      </c>
      <c r="C93" s="102">
        <f>C27+C28</f>
        <v>0</v>
      </c>
      <c r="D93" s="106" t="e">
        <f>C93/C91</f>
        <v>#DIV/0!</v>
      </c>
      <c r="E93" s="107" t="e">
        <f>E91*D93</f>
        <v>#DIV/0!</v>
      </c>
      <c r="F93" s="107" t="e">
        <f>F91*D93</f>
        <v>#DIV/0!</v>
      </c>
    </row>
    <row r="94" spans="2:8" x14ac:dyDescent="0.35">
      <c r="B94" s="105" t="s">
        <v>225</v>
      </c>
      <c r="C94" s="102">
        <f>C29</f>
        <v>0</v>
      </c>
      <c r="D94" s="106" t="e">
        <f>C94/C91</f>
        <v>#DIV/0!</v>
      </c>
      <c r="E94" s="108"/>
      <c r="F94" s="107" t="e">
        <f>F91*D94</f>
        <v>#DIV/0!</v>
      </c>
    </row>
    <row r="95" spans="2:8" x14ac:dyDescent="0.35">
      <c r="B95" s="18" t="s">
        <v>218</v>
      </c>
      <c r="C95" s="102">
        <f>ABS(MAX(C33,0)-C32)</f>
        <v>0</v>
      </c>
      <c r="D95" s="106" t="e">
        <f>C95/C91</f>
        <v>#DIV/0!</v>
      </c>
      <c r="E95" s="107" t="e">
        <f>E91*D95</f>
        <v>#DIV/0!</v>
      </c>
      <c r="F95" s="107" t="e">
        <f>F91*D95</f>
        <v>#DIV/0!</v>
      </c>
    </row>
    <row r="96" spans="2:8" x14ac:dyDescent="0.35">
      <c r="B96" s="18" t="s">
        <v>102</v>
      </c>
      <c r="C96" s="102">
        <f>MAX(C31,0)</f>
        <v>0</v>
      </c>
      <c r="D96" s="106" t="e">
        <f>C96/C91</f>
        <v>#DIV/0!</v>
      </c>
      <c r="E96" s="108"/>
      <c r="F96" s="107" t="e">
        <f>F91*D96</f>
        <v>#DIV/0!</v>
      </c>
    </row>
    <row r="97" spans="2:6" x14ac:dyDescent="0.35">
      <c r="B97" s="98" t="s">
        <v>153</v>
      </c>
      <c r="C97" s="102">
        <f>MAX(C30,0)/(1-C16)</f>
        <v>0</v>
      </c>
      <c r="D97" s="106" t="e">
        <f>C97/C91</f>
        <v>#DIV/0!</v>
      </c>
      <c r="E97" s="108"/>
      <c r="F97" s="107" t="e">
        <f>F91*D97</f>
        <v>#DIV/0!</v>
      </c>
    </row>
    <row r="98" spans="2:6" x14ac:dyDescent="0.35">
      <c r="B98" s="8" t="s">
        <v>183</v>
      </c>
      <c r="C98" s="109">
        <f>C44</f>
        <v>0</v>
      </c>
      <c r="D98" s="110"/>
      <c r="E98" s="111">
        <f>F98</f>
        <v>0</v>
      </c>
      <c r="F98" s="111">
        <f>C98</f>
        <v>0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0590.HK : Template</v>
      </c>
      <c r="D2" s="3"/>
      <c r="E2" s="7"/>
      <c r="F2" s="7"/>
      <c r="G2" s="325" t="str">
        <f>IF(Inputs!D4="","",Inputs!D4)</f>
        <v/>
      </c>
      <c r="H2" s="325"/>
    </row>
    <row r="3" spans="1:10" ht="15.75" customHeight="1" x14ac:dyDescent="0.35">
      <c r="B3" s="9" t="s">
        <v>170</v>
      </c>
      <c r="C3" s="315" t="str">
        <f>Inputs!C4</f>
        <v>0590.HK</v>
      </c>
      <c r="D3" s="316"/>
      <c r="E3" s="3"/>
      <c r="F3" s="9" t="s">
        <v>1</v>
      </c>
      <c r="G3" s="10">
        <v>7.86</v>
      </c>
      <c r="H3" s="11" t="s">
        <v>260</v>
      </c>
    </row>
    <row r="4" spans="1:10" ht="15.75" customHeight="1" x14ac:dyDescent="0.35">
      <c r="B4" s="12" t="s">
        <v>171</v>
      </c>
      <c r="C4" s="317" t="str">
        <f>Inputs!C5</f>
        <v>Template</v>
      </c>
      <c r="D4" s="318"/>
      <c r="E4" s="3"/>
      <c r="F4" s="9" t="s">
        <v>3</v>
      </c>
      <c r="G4" s="321">
        <f>Inputs!C10</f>
        <v>587107850</v>
      </c>
      <c r="H4" s="321"/>
      <c r="I4" s="14"/>
    </row>
    <row r="5" spans="1:10" ht="15.75" customHeight="1" x14ac:dyDescent="0.35">
      <c r="B5" s="9" t="s">
        <v>148</v>
      </c>
      <c r="C5" s="319">
        <f>Inputs!C6</f>
        <v>45624</v>
      </c>
      <c r="D5" s="320"/>
      <c r="E5" s="16"/>
      <c r="F5" s="12" t="s">
        <v>92</v>
      </c>
      <c r="G5" s="313">
        <f>G3*G4/1000000</f>
        <v>4614.6677010000003</v>
      </c>
      <c r="H5" s="313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14" t="str">
        <f>Inputs!C11</f>
        <v>HKD</v>
      </c>
      <c r="H6" s="314"/>
      <c r="I6" s="17"/>
    </row>
    <row r="7" spans="1:10" ht="15.75" customHeight="1" x14ac:dyDescent="0.35">
      <c r="B7" s="8" t="s">
        <v>168</v>
      </c>
      <c r="C7" s="128" t="str">
        <f>Inputs!C8</f>
        <v>N</v>
      </c>
      <c r="D7" s="128" t="str">
        <f>Inputs!C9</f>
        <v>C0003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261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222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CN</v>
      </c>
      <c r="F16" s="25" t="s">
        <v>158</v>
      </c>
    </row>
    <row r="17" spans="1:8" ht="15.75" customHeight="1" thickTop="1" x14ac:dyDescent="0.35">
      <c r="B17" s="3" t="s">
        <v>223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245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236</v>
      </c>
      <c r="C20" s="31" t="e">
        <f>C21*C22*C23</f>
        <v>#VALUE!</v>
      </c>
      <c r="F20" s="3" t="s">
        <v>187</v>
      </c>
      <c r="G20" s="121">
        <v>0.15</v>
      </c>
      <c r="H20" s="307">
        <v>3</v>
      </c>
    </row>
    <row r="21" spans="1:8" ht="15.75" customHeight="1" thickTop="1" x14ac:dyDescent="0.35">
      <c r="B21" s="32" t="s">
        <v>241</v>
      </c>
      <c r="C21" s="33" t="e">
        <f>Data!C13</f>
        <v>#VALUE!</v>
      </c>
      <c r="F21" s="3"/>
      <c r="G21" s="34"/>
    </row>
    <row r="22" spans="1:8" ht="15.75" customHeight="1" x14ac:dyDescent="0.35">
      <c r="B22" s="35" t="s">
        <v>248</v>
      </c>
      <c r="C22" s="36" t="e">
        <f>Data!C48</f>
        <v>#VALUE!</v>
      </c>
      <c r="F22" s="88" t="s">
        <v>262</v>
      </c>
      <c r="G22" s="293"/>
      <c r="H22" s="293"/>
    </row>
    <row r="23" spans="1:8" ht="15.75" customHeight="1" thickBot="1" x14ac:dyDescent="0.4">
      <c r="B23" s="37" t="s">
        <v>254</v>
      </c>
      <c r="C23" s="38" t="e">
        <f>1/Data!C53</f>
        <v>#DIV/0!</v>
      </c>
      <c r="F23" s="39" t="s">
        <v>166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242</v>
      </c>
      <c r="C24" s="42" t="e">
        <f>Fin_Analysis!I81</f>
        <v>#DIV/0!</v>
      </c>
      <c r="F24" s="39" t="s">
        <v>227</v>
      </c>
      <c r="G24" s="43" t="e">
        <f>G3/(Fin_Analysis!H86*G7)</f>
        <v>#DIV/0!</v>
      </c>
    </row>
    <row r="25" spans="1:8" ht="15.75" customHeight="1" x14ac:dyDescent="0.35">
      <c r="B25" s="28" t="s">
        <v>243</v>
      </c>
      <c r="C25" s="44" t="e">
        <f>Fin_Analysis!I80</f>
        <v>#DIV/0!</v>
      </c>
      <c r="F25" s="39" t="s">
        <v>154</v>
      </c>
      <c r="G25" s="44" t="e">
        <f>Fin_Analysis!I88</f>
        <v>#DIV/0!</v>
      </c>
    </row>
    <row r="26" spans="1:8" ht="15.75" customHeight="1" x14ac:dyDescent="0.35">
      <c r="B26" s="45" t="s">
        <v>244</v>
      </c>
      <c r="C26" s="44" t="e">
        <f>Fin_Analysis!I80+Fin_Analysis!I82</f>
        <v>#DIV/0!</v>
      </c>
      <c r="F26" s="46" t="s">
        <v>169</v>
      </c>
      <c r="G26" s="47">
        <f>Fin_Analysis!H88*Exchange_Rate/G3</f>
        <v>0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1" t="s">
        <v>226</v>
      </c>
      <c r="H28" s="311"/>
    </row>
    <row r="29" spans="1:8" ht="15.75" customHeight="1" x14ac:dyDescent="0.35">
      <c r="B29" s="3" t="s">
        <v>152</v>
      </c>
      <c r="C29" s="53" t="e">
        <f>IF(Fin_Analysis!C108="Profit",Fin_Analysis!D100,IF(Fin_Analysis!C108="Dividend",Fin_Analysis!D103,Fin_Analysis!D106))</f>
        <v>#DIV/0!</v>
      </c>
      <c r="D29" s="54" t="e">
        <f>G29*(1+G20)</f>
        <v>#DIV/0!</v>
      </c>
      <c r="E29" s="3"/>
      <c r="F29" s="55" t="e">
        <f>IF(Fin_Analysis!C108="Profit",Fin_Analysis!F100,IF(Fin_Analysis!C108="Dividend",Fin_Analysis!F103,Fin_Analysis!F106))</f>
        <v>#DIV/0!</v>
      </c>
      <c r="G29" s="312" t="e">
        <f>IF(Fin_Analysis!C108="Profit",Fin_Analysis!I100,IF(Fin_Analysis!C108="Dividend",Fin_Analysis!I103,Fin_Analysis!I106))</f>
        <v>#DIV/0!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unclear</v>
      </c>
    </row>
    <row r="34" spans="1:4" ht="15.75" customHeight="1" x14ac:dyDescent="0.35">
      <c r="B34" s="57" t="s">
        <v>200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261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unclear</v>
      </c>
    </row>
    <row r="37" spans="1:4" ht="15.75" customHeight="1" x14ac:dyDescent="0.35">
      <c r="B37" s="56" t="s">
        <v>213</v>
      </c>
      <c r="C37" s="117" t="str">
        <f>Inputs!C19</f>
        <v>unclear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unclear</v>
      </c>
    </row>
    <row r="40" spans="1:4" ht="15.75" customHeight="1" x14ac:dyDescent="0.35">
      <c r="B40" s="2" t="s">
        <v>205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45291</v>
      </c>
      <c r="E3" s="143" t="s">
        <v>176</v>
      </c>
      <c r="F3" s="144" t="str">
        <f>H14</f>
        <v/>
      </c>
      <c r="G3" s="144" t="e">
        <f>C14</f>
        <v>#VALUE!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</v>
      </c>
      <c r="D4" s="2" t="str">
        <f>Dashboard!G6</f>
        <v>HKD</v>
      </c>
      <c r="E4" s="143" t="s">
        <v>177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124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12</v>
      </c>
      <c r="C6" s="147" t="str">
        <f>IF(Inputs!C25=""," ",Inputs!C25)</f>
        <v xml:space="preserve"> </v>
      </c>
      <c r="D6" s="147" t="str">
        <f>IF(Inputs!D25="","",Inputs!D25)</f>
        <v/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 t="str">
        <f t="shared" ref="C7:M7" si="1">IF(D6="","",C6/D6-1)</f>
        <v/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 t="str">
        <f>IF(Inputs!C26="","",Inputs!C26)</f>
        <v/>
      </c>
      <c r="D8" s="149" t="str">
        <f>IF(Inputs!D26="","",Inputs!D26)</f>
        <v/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 t="e">
        <f t="shared" ref="C9:M9" si="2">IF(C6="","",(C6-C8))</f>
        <v>#VALUE!</v>
      </c>
      <c r="D9" s="279" t="str">
        <f t="shared" si="2"/>
        <v/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 t="str">
        <f>IF(Inputs!C27="","",Inputs!C27)</f>
        <v/>
      </c>
      <c r="D10" s="149" t="str">
        <f>IF(Inputs!D27="","",Inputs!D27)</f>
        <v/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 t="str">
        <f>IF(Inputs!C30="","",MAX(Inputs!C30,0)/(1-Fin_Analysis!$I$84))</f>
        <v/>
      </c>
      <c r="D12" s="149" t="str">
        <f>IF(Inputs!D30="","",MAX(Inputs!D30,0)/(1-Fin_Analysis!$I$84))</f>
        <v/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 t="e">
        <f t="shared" ref="C13:M13" si="3">IF(C14="","",C14/C6)</f>
        <v>#VALUE!</v>
      </c>
      <c r="D13" s="300" t="str">
        <f t="shared" si="3"/>
        <v/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 t="e">
        <f>IF(C6="","",C9-C10-MAX(C11,0)-MAX(C12,0))</f>
        <v>#VALUE!</v>
      </c>
      <c r="D14" s="302" t="str">
        <f t="shared" ref="D14:M14" si="4">IF(D6="","",D9-D10-MAX(D11,0)-MAX(D12,0))</f>
        <v/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 t="str">
        <f>IF(D14="","",IF(ABS(C14+D14)=ABS(C14)+ABS(D14),IF(C14&lt;0,-1,1)*(C14-D14)/D14,"Turn"))</f>
        <v/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225</v>
      </c>
      <c r="C17" s="149" t="str">
        <f>IF(Inputs!C29="","",Inputs!C29)</f>
        <v/>
      </c>
      <c r="D17" s="149" t="str">
        <f>IF(Inputs!D29="","",Inputs!D29)</f>
        <v/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 t="e">
        <f t="shared" ref="C20:M20" si="7">IF(C6="","",MAX(C21,0)/C6)</f>
        <v>#VALUE!</v>
      </c>
      <c r="D20" s="233" t="str">
        <f t="shared" si="7"/>
        <v/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 t="e">
        <f>IF(C6="","",C14-MAX(C16,0)-MAX(C17,0)-ABS(MAX(C21,0)-MAX(C19,0)))</f>
        <v>#VALUE!</v>
      </c>
      <c r="D22" s="283" t="str">
        <f t="shared" ref="D22:M22" si="8">IF(D6="","",D14-MAX(D16,0)-MAX(D17,0)-ABS(MAX(D21,0)-MAX(D19,0)))</f>
        <v/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 t="e">
        <f t="shared" ref="C23:M23" si="9">IF(C6="","",C24/C6)</f>
        <v>#VALUE!</v>
      </c>
      <c r="D23" s="148" t="str">
        <f t="shared" si="9"/>
        <v/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 t="e">
        <f>IF(C6="","",C22*(1-Fin_Analysis!$I$84))</f>
        <v>#VALUE!</v>
      </c>
      <c r="D24" s="282" t="str">
        <f>IF(D6="","",D22*(1-Fin_Analysis!$I$84))</f>
        <v/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 t="str">
        <f>IF(D24="","",IF(ABS(C24+D24)=ABS(C24)+ABS(D24),IF(C24&lt;0,-1,1)*(C24-D24)/D24,"Turn"))</f>
        <v/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246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 t="e">
        <f>IF(C6="","",C14/MAX(C37,0))</f>
        <v>#VALUE!</v>
      </c>
      <c r="D38" s="154" t="str">
        <f>IF(D6="","",D14/MAX(D37,0))</f>
        <v/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231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 t="e">
        <f t="shared" ref="C40:M40" si="34">IF(C6="","",C8/C6)</f>
        <v>#VALUE!</v>
      </c>
      <c r="D40" s="156" t="str">
        <f t="shared" si="34"/>
        <v/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 t="e">
        <f t="shared" ref="C41:M41" si="35">IF(C6="","",(C10+MAX(C11,0))/C6)</f>
        <v>#VALUE!</v>
      </c>
      <c r="D41" s="151" t="str">
        <f t="shared" si="35"/>
        <v/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 t="e">
        <f t="shared" ref="C42:M42" si="36">IF(C6="","",MAX(C16,0)/C6)</f>
        <v>#VALUE!</v>
      </c>
      <c r="D42" s="151" t="str">
        <f t="shared" si="36"/>
        <v/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 t="e">
        <f t="shared" ref="C43:M43" si="37">IF(C6="","",MAX(C17,0)/C6)</f>
        <v>#VALUE!</v>
      </c>
      <c r="D43" s="151" t="str">
        <f t="shared" si="37"/>
        <v/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 t="e">
        <f t="shared" ref="C44:M44" si="38">IF(C6="","",MAX(C12,0)/C6)</f>
        <v>#VALUE!</v>
      </c>
      <c r="D44" s="151" t="str">
        <f t="shared" si="38"/>
        <v/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 t="e">
        <f t="shared" ref="C45:M45" si="39">IF(C6="","",ABS(MAX(C21,0)-MAX(C19,0))/C6)</f>
        <v>#VALUE!</v>
      </c>
      <c r="D45" s="151" t="str">
        <f t="shared" si="39"/>
        <v/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 t="e">
        <f t="shared" ref="C46:M46" si="40">IF(C6="","",C22/C6)</f>
        <v>#VALUE!</v>
      </c>
      <c r="D46" s="289" t="str">
        <f t="shared" si="40"/>
        <v/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232</v>
      </c>
      <c r="C47" s="157" t="s">
        <v>249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238</v>
      </c>
      <c r="C48" s="159" t="e">
        <f t="shared" ref="C48:M48" si="41">IF(C6="","",C6/C27)</f>
        <v>#VALUE!</v>
      </c>
      <c r="D48" s="159" t="str">
        <f t="shared" si="41"/>
        <v/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239</v>
      </c>
      <c r="C49" s="151" t="e">
        <f t="shared" ref="C49:M49" si="42">IF(C28="","",C28/C6)</f>
        <v>#VALUE!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240</v>
      </c>
      <c r="C50" s="151" t="e">
        <f t="shared" ref="C50:M50" si="43">IF(C29="","",C29/C6)</f>
        <v>#VALUE!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230</v>
      </c>
      <c r="C51" s="151" t="str">
        <f t="shared" ref="C51:M51" si="44">IF(D6="","",C16/(C6-D6))</f>
        <v/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234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 t="e">
        <f t="shared" ref="C54:M54" si="46">IF(OR(C22="",C33=""),"",IF(C33&lt;=0,"-",C22/C33))</f>
        <v>#VALUE!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 t="e">
        <f t="shared" ref="C55:M55" si="47">IF(C22="","",IF(MAX(C17,0)&lt;=0,"-",C17/C22))</f>
        <v>#VALUE!</v>
      </c>
      <c r="D55" s="151" t="str">
        <f t="shared" si="47"/>
        <v/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253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235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236</v>
      </c>
      <c r="C58" s="162" t="e">
        <f t="shared" ref="C58:M58" si="49">IF(C14="","",C14/(C34-C35))</f>
        <v>#VALUE!</v>
      </c>
      <c r="D58" s="162" t="str">
        <f t="shared" si="49"/>
        <v/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237</v>
      </c>
      <c r="C59" s="162" t="e">
        <f t="shared" ref="C59:M59" si="50">IF(C22="","",C22/(C34-C35))</f>
        <v>#VALUE!</v>
      </c>
      <c r="D59" s="162" t="str">
        <f t="shared" si="50"/>
        <v/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265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0</v>
      </c>
      <c r="K3" s="75"/>
    </row>
    <row r="4" spans="1:11" ht="15" customHeight="1" x14ac:dyDescent="0.35">
      <c r="B4" s="9" t="s">
        <v>22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25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26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264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277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32</v>
      </c>
      <c r="I11" s="181">
        <f>Inputs!C73</f>
        <v>0</v>
      </c>
      <c r="J11" s="3"/>
      <c r="K11" s="75"/>
    </row>
    <row r="12" spans="1:11" ht="11.65" x14ac:dyDescent="0.35">
      <c r="B12" s="2" t="s">
        <v>126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33</v>
      </c>
      <c r="I12" s="181">
        <f>Inputs!C74</f>
        <v>0</v>
      </c>
      <c r="J12" s="3"/>
      <c r="K12" s="75"/>
    </row>
    <row r="13" spans="1:11" ht="11.65" x14ac:dyDescent="0.35">
      <c r="B13" s="9" t="s">
        <v>108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36</v>
      </c>
      <c r="I14" s="184">
        <f>Inputs!C76</f>
        <v>0</v>
      </c>
      <c r="J14" s="3"/>
      <c r="K14" s="185"/>
    </row>
    <row r="15" spans="1:11" ht="11.65" x14ac:dyDescent="0.35">
      <c r="B15" s="9" t="s">
        <v>37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47</v>
      </c>
      <c r="I15" s="186">
        <f>SUM(I11:I14)</f>
        <v>0</v>
      </c>
      <c r="J15" s="3"/>
    </row>
    <row r="16" spans="1:11" ht="11.65" x14ac:dyDescent="0.35">
      <c r="B16" s="2" t="s">
        <v>144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Y</v>
      </c>
      <c r="G19" s="187">
        <f>IF(F19="Y",0,1)</f>
        <v>0</v>
      </c>
    </row>
    <row r="20" spans="2:10" ht="11.65" x14ac:dyDescent="0.35">
      <c r="B20" s="9" t="s">
        <v>111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48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49</v>
      </c>
      <c r="I25" s="174" t="e">
        <f>E28/I28</f>
        <v>#DIV/0!</v>
      </c>
    </row>
    <row r="26" spans="2:10" ht="15" customHeight="1" x14ac:dyDescent="0.35">
      <c r="B26" s="189" t="s">
        <v>50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51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52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53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15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16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0</v>
      </c>
      <c r="J30" s="3"/>
    </row>
    <row r="31" spans="2:10" ht="15" customHeight="1" x14ac:dyDescent="0.35">
      <c r="B31" s="9" t="s">
        <v>56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57</v>
      </c>
      <c r="I31" s="181">
        <f>Inputs!C79</f>
        <v>0</v>
      </c>
      <c r="J31" s="3"/>
    </row>
    <row r="32" spans="2:10" ht="15" customHeight="1" x14ac:dyDescent="0.35">
      <c r="B32" s="9" t="s">
        <v>58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60</v>
      </c>
      <c r="I33" s="184">
        <f>Inputs!C81</f>
        <v>0</v>
      </c>
      <c r="J33" s="3"/>
    </row>
    <row r="34" spans="2:10" ht="11.65" x14ac:dyDescent="0.35">
      <c r="B34" s="9" t="s">
        <v>61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71</v>
      </c>
      <c r="I34" s="186">
        <f>SUM(I30:I33)</f>
        <v>0</v>
      </c>
      <c r="J34" s="3"/>
    </row>
    <row r="35" spans="2:10" ht="11.65" x14ac:dyDescent="0.35">
      <c r="B35" s="9" t="s">
        <v>63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0</v>
      </c>
      <c r="D36" s="264">
        <f>Inputs!D66</f>
        <v>0.3</v>
      </c>
      <c r="E36" s="182">
        <f t="shared" si="1"/>
        <v>0</v>
      </c>
      <c r="F36" s="266" t="str">
        <f>Inputs!E66</f>
        <v>Y</v>
      </c>
      <c r="G36" s="187">
        <f>IF(F36="Y",0,1)</f>
        <v>0</v>
      </c>
      <c r="H36" s="3"/>
      <c r="I36" s="3"/>
    </row>
    <row r="37" spans="2:10" ht="11.65" x14ac:dyDescent="0.35">
      <c r="B37" s="2" t="s">
        <v>42</v>
      </c>
      <c r="C37" s="181">
        <f>Inputs!C67</f>
        <v>0</v>
      </c>
      <c r="D37" s="264">
        <f>Inputs!D67</f>
        <v>0.2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74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75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76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77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78</v>
      </c>
      <c r="I48" s="203">
        <f>I49-I28</f>
        <v>0</v>
      </c>
      <c r="J48" s="193"/>
    </row>
    <row r="49" spans="2:11" ht="15" customHeight="1" thickTop="1" x14ac:dyDescent="0.35">
      <c r="B49" s="9" t="s">
        <v>14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79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263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21">
        <f>Inputs!C84</f>
        <v>0</v>
      </c>
      <c r="E57" s="320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256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257</v>
      </c>
      <c r="I61" s="209">
        <f>C99*Data!$C$4/Common_Shares</f>
        <v>0</v>
      </c>
      <c r="K61" s="178"/>
    </row>
    <row r="62" spans="2:11" ht="11.65" x14ac:dyDescent="0.35">
      <c r="B62" s="12" t="s">
        <v>130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284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258</v>
      </c>
      <c r="I63" s="213">
        <f>IF(I61&gt;0,FV(I62,D93,0,-I61),I61)</f>
        <v>0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0</v>
      </c>
      <c r="F64" s="3"/>
      <c r="G64" s="3"/>
      <c r="H64" s="2" t="s">
        <v>259</v>
      </c>
      <c r="I64" s="213">
        <f>IF(I61&gt;0,PV(C94,D93,0,-I63),I61)</f>
        <v>0</v>
      </c>
      <c r="K64" s="178"/>
    </row>
    <row r="65" spans="1:11" ht="12" thickTop="1" x14ac:dyDescent="0.35">
      <c r="B65" s="9" t="s">
        <v>133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45291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 t="str">
        <f>Data!C6</f>
        <v xml:space="preserve"> </v>
      </c>
      <c r="D74" s="103"/>
      <c r="E74" s="262">
        <f>Inputs!E91</f>
        <v>0</v>
      </c>
      <c r="F74" s="103"/>
      <c r="H74" s="262">
        <f>Inputs!F91</f>
        <v>0</v>
      </c>
      <c r="I74" s="103"/>
      <c r="K74" s="75"/>
    </row>
    <row r="75" spans="1:11" ht="15" customHeight="1" x14ac:dyDescent="0.35">
      <c r="B75" s="105" t="s">
        <v>98</v>
      </c>
      <c r="C75" s="102" t="str">
        <f>Data!C8</f>
        <v/>
      </c>
      <c r="D75" s="106" t="e">
        <f>C75/$C$74</f>
        <v>#VALUE!</v>
      </c>
      <c r="E75" s="262" t="e">
        <f>Inputs!E92</f>
        <v>#DIV/0!</v>
      </c>
      <c r="F75" s="217" t="e">
        <f>E75/E74</f>
        <v>#DIV/0!</v>
      </c>
      <c r="H75" s="262" t="e">
        <f>Inputs!F92</f>
        <v>#DIV/0!</v>
      </c>
      <c r="I75" s="217" t="e">
        <f>H75/$H$74</f>
        <v>#DIV/0!</v>
      </c>
      <c r="K75" s="75"/>
    </row>
    <row r="76" spans="1:11" ht="15" customHeight="1" x14ac:dyDescent="0.35">
      <c r="B76" s="12" t="s">
        <v>88</v>
      </c>
      <c r="C76" s="150" t="e">
        <f>C74-C75</f>
        <v>#VALUE!</v>
      </c>
      <c r="D76" s="218"/>
      <c r="E76" s="219" t="e">
        <f>E74-E75</f>
        <v>#DIV/0!</v>
      </c>
      <c r="F76" s="218"/>
      <c r="H76" s="219" t="e">
        <f>H74-H75</f>
        <v>#DIV/0!</v>
      </c>
      <c r="I76" s="218"/>
      <c r="K76" s="75"/>
    </row>
    <row r="77" spans="1:11" ht="15" customHeight="1" x14ac:dyDescent="0.35">
      <c r="B77" s="105" t="s">
        <v>219</v>
      </c>
      <c r="C77" s="102" t="e">
        <f>Data!C10+MAX(Data!C11,0)</f>
        <v>#VALUE!</v>
      </c>
      <c r="D77" s="106" t="e">
        <f>C77/$C$74</f>
        <v>#VALUE!</v>
      </c>
      <c r="E77" s="262" t="e">
        <f>Inputs!E93</f>
        <v>#DIV/0!</v>
      </c>
      <c r="F77" s="217" t="e">
        <f>E77/E74</f>
        <v>#DIV/0!</v>
      </c>
      <c r="H77" s="262" t="e">
        <f>Inputs!F93</f>
        <v>#DIV/0!</v>
      </c>
      <c r="I77" s="217" t="e">
        <f>H77/$H$74</f>
        <v>#DIV/0!</v>
      </c>
      <c r="K77" s="75"/>
    </row>
    <row r="78" spans="1:11" ht="15" customHeight="1" x14ac:dyDescent="0.35">
      <c r="B78" s="98" t="s">
        <v>153</v>
      </c>
      <c r="C78" s="102">
        <f>MAX(Data!C12,0)</f>
        <v>0</v>
      </c>
      <c r="D78" s="106" t="e">
        <f>C78/$C$74</f>
        <v>#VALUE!</v>
      </c>
      <c r="E78" s="220" t="e">
        <f>E74*F78</f>
        <v>#DIV/0!</v>
      </c>
      <c r="F78" s="217" t="e">
        <f>I78</f>
        <v>#DIV/0!</v>
      </c>
      <c r="H78" s="262" t="e">
        <f>Inputs!F97</f>
        <v>#DIV/0!</v>
      </c>
      <c r="I78" s="217" t="e">
        <f>H78/$H$74</f>
        <v>#DIV/0!</v>
      </c>
      <c r="K78" s="75"/>
    </row>
    <row r="79" spans="1:11" ht="15" customHeight="1" x14ac:dyDescent="0.35">
      <c r="B79" s="221" t="s">
        <v>206</v>
      </c>
      <c r="C79" s="222" t="e">
        <f>C76-C77-C78</f>
        <v>#VALUE!</v>
      </c>
      <c r="D79" s="223" t="e">
        <f>C79/C74</f>
        <v>#VALUE!</v>
      </c>
      <c r="E79" s="224" t="e">
        <f>E76-E77-E78</f>
        <v>#DIV/0!</v>
      </c>
      <c r="F79" s="223" t="e">
        <f>E79/E74</f>
        <v>#DIV/0!</v>
      </c>
      <c r="G79" s="225"/>
      <c r="H79" s="224" t="e">
        <f>H76-H77-H78</f>
        <v>#DIV/0!</v>
      </c>
      <c r="I79" s="223" t="e">
        <f>H79/H74</f>
        <v>#DIV/0!</v>
      </c>
      <c r="K79" s="75"/>
    </row>
    <row r="80" spans="1:11" ht="15" customHeight="1" x14ac:dyDescent="0.35">
      <c r="B80" s="18" t="s">
        <v>102</v>
      </c>
      <c r="C80" s="102">
        <f>MAX(Data!C16,0)</f>
        <v>0</v>
      </c>
      <c r="D80" s="106" t="e">
        <f>C80/$C$74</f>
        <v>#VALUE!</v>
      </c>
      <c r="E80" s="220" t="e">
        <f>E74*F80</f>
        <v>#DIV/0!</v>
      </c>
      <c r="F80" s="217" t="e">
        <f>I80</f>
        <v>#DIV/0!</v>
      </c>
      <c r="H80" s="262" t="e">
        <f>Inputs!F96</f>
        <v>#DIV/0!</v>
      </c>
      <c r="I80" s="217" t="e">
        <f>H80/$H$74</f>
        <v>#DIV/0!</v>
      </c>
      <c r="K80" s="226" t="s">
        <v>122</v>
      </c>
    </row>
    <row r="81" spans="1:11" ht="15" customHeight="1" x14ac:dyDescent="0.35">
      <c r="B81" s="105" t="s">
        <v>225</v>
      </c>
      <c r="C81" s="102">
        <f>MAX(Data!C17,0)</f>
        <v>0</v>
      </c>
      <c r="D81" s="106" t="e">
        <f>C81/$C$74</f>
        <v>#VALUE!</v>
      </c>
      <c r="E81" s="220" t="e">
        <f>E74*F81</f>
        <v>#DIV/0!</v>
      </c>
      <c r="F81" s="217" t="e">
        <f>I81</f>
        <v>#DIV/0!</v>
      </c>
      <c r="H81" s="262" t="e">
        <f>Inputs!F94</f>
        <v>#DIV/0!</v>
      </c>
      <c r="I81" s="217" t="e">
        <f>H81/$H$74</f>
        <v>#DIV/0!</v>
      </c>
      <c r="K81" s="75"/>
    </row>
    <row r="82" spans="1:11" ht="15" customHeight="1" x14ac:dyDescent="0.35">
      <c r="B82" s="18" t="s">
        <v>218</v>
      </c>
      <c r="C82" s="102">
        <f>ABS(MAX(Data!C21,0)-MAX(Data!C19,0))</f>
        <v>0</v>
      </c>
      <c r="D82" s="106" t="e">
        <f>C82/$C$74</f>
        <v>#VALUE!</v>
      </c>
      <c r="E82" s="262" t="e">
        <f>Inputs!E95</f>
        <v>#DIV/0!</v>
      </c>
      <c r="F82" s="217" t="e">
        <f>E82/E74</f>
        <v>#DIV/0!</v>
      </c>
      <c r="H82" s="262" t="e">
        <f>Inputs!F95</f>
        <v>#DIV/0!</v>
      </c>
      <c r="I82" s="217" t="e">
        <f>H82/$H$74</f>
        <v>#DIV/0!</v>
      </c>
      <c r="K82" s="75"/>
    </row>
    <row r="83" spans="1:11" ht="15" customHeight="1" thickBot="1" x14ac:dyDescent="0.4">
      <c r="B83" s="227" t="s">
        <v>116</v>
      </c>
      <c r="C83" s="228" t="e">
        <f>C79-C81-C82-C80</f>
        <v>#VALUE!</v>
      </c>
      <c r="D83" s="229" t="e">
        <f>C83/$C$74</f>
        <v>#VALUE!</v>
      </c>
      <c r="E83" s="230" t="e">
        <f>E79-E81-E82-E80</f>
        <v>#DIV/0!</v>
      </c>
      <c r="F83" s="229" t="e">
        <f>E83/E74</f>
        <v>#DIV/0!</v>
      </c>
      <c r="H83" s="230" t="e">
        <f>H79-H81-H82-H80</f>
        <v>#DIV/0!</v>
      </c>
      <c r="I83" s="229" t="e">
        <f>H83/$H$74</f>
        <v>#DIV/0!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149</v>
      </c>
      <c r="C85" s="222" t="e">
        <f>C83*(1-I84)</f>
        <v>#VALUE!</v>
      </c>
      <c r="D85" s="223" t="e">
        <f>C85/$C$74</f>
        <v>#VALUE!</v>
      </c>
      <c r="E85" s="235" t="e">
        <f>E83*(1-F84)</f>
        <v>#DIV/0!</v>
      </c>
      <c r="F85" s="223" t="e">
        <f>E85/E74</f>
        <v>#DIV/0!</v>
      </c>
      <c r="G85" s="225"/>
      <c r="H85" s="235" t="e">
        <f>H83*(1-I84)</f>
        <v>#DIV/0!</v>
      </c>
      <c r="I85" s="223" t="e">
        <f>H85/$H$74</f>
        <v>#DIV/0!</v>
      </c>
      <c r="K85" s="75"/>
    </row>
    <row r="86" spans="1:11" ht="15" customHeight="1" x14ac:dyDescent="0.35">
      <c r="B86" s="3" t="s">
        <v>146</v>
      </c>
      <c r="C86" s="236" t="e">
        <f>C85*Data!C4/Common_Shares</f>
        <v>#VALUE!</v>
      </c>
      <c r="D86" s="103"/>
      <c r="E86" s="237" t="e">
        <f>E85*Data!C4/Common_Shares</f>
        <v>#DIV/0!</v>
      </c>
      <c r="F86" s="103"/>
      <c r="H86" s="237" t="e">
        <f>H85*Data!C4/Common_Shares</f>
        <v>#DIV/0!</v>
      </c>
      <c r="I86" s="103"/>
      <c r="K86" s="75"/>
    </row>
    <row r="87" spans="1:11" ht="15" customHeight="1" x14ac:dyDescent="0.35">
      <c r="B87" s="3" t="s">
        <v>184</v>
      </c>
      <c r="C87" s="238" t="e">
        <f>C86*Exchange_Rate/Dashboard!G3</f>
        <v>#VALUE!</v>
      </c>
      <c r="D87" s="103"/>
      <c r="E87" s="239" t="e">
        <f>E86*Exchange_Rate/Dashboard!G3</f>
        <v>#DIV/0!</v>
      </c>
      <c r="F87" s="103"/>
      <c r="H87" s="239" t="e">
        <f>H86*Exchange_Rate/Dashboard!G3</f>
        <v>#DIV/0!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0</v>
      </c>
      <c r="D88" s="241" t="e">
        <f>C88/C86</f>
        <v>#VALUE!</v>
      </c>
      <c r="E88" s="261">
        <f>Inputs!E98</f>
        <v>0</v>
      </c>
      <c r="F88" s="241" t="e">
        <f>E88/E86</f>
        <v>#DIV/0!</v>
      </c>
      <c r="H88" s="261">
        <f>Inputs!F98</f>
        <v>0</v>
      </c>
      <c r="I88" s="241" t="e">
        <f>H88/H86</f>
        <v>#DIV/0!</v>
      </c>
      <c r="K88" s="75"/>
    </row>
    <row r="89" spans="1:11" ht="15" customHeight="1" x14ac:dyDescent="0.35">
      <c r="B89" s="3" t="s">
        <v>196</v>
      </c>
      <c r="C89" s="238">
        <f>C88*Exchange_Rate/Dashboard!G3</f>
        <v>0</v>
      </c>
      <c r="D89" s="103"/>
      <c r="E89" s="238">
        <f>E88*Exchange_Rate/Dashboard!G3</f>
        <v>0</v>
      </c>
      <c r="F89" s="103"/>
      <c r="H89" s="238">
        <f>H88*Exchange_Rate/Dashboard!G3</f>
        <v>0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273</v>
      </c>
      <c r="C92" s="264" t="str">
        <f>Inputs!C15</f>
        <v>CN</v>
      </c>
      <c r="D92" s="88" t="s">
        <v>274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8.6249999999999993E-2</v>
      </c>
      <c r="D93" s="259">
        <f>Dashboard!H20</f>
        <v>3</v>
      </c>
      <c r="E93" s="3" t="s">
        <v>185</v>
      </c>
      <c r="F93" s="243" t="e">
        <f>FV(E87,D93,0,-(E86/(C93-D94)))*Exchange_Rate</f>
        <v>#DIV/0!</v>
      </c>
      <c r="H93" s="3" t="s">
        <v>185</v>
      </c>
      <c r="I93" s="243" t="e">
        <f>FV(H87,D93,0,-(H86/(C93-D94)))*Exchange_Rate</f>
        <v>#DIV/0!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0.02</v>
      </c>
      <c r="E94" s="3" t="s">
        <v>186</v>
      </c>
      <c r="F94" s="243">
        <f>FV(E89,D93,0,-(E88/(C93-D94)))*Exchange_Rate</f>
        <v>0</v>
      </c>
      <c r="H94" s="3" t="s">
        <v>186</v>
      </c>
      <c r="I94" s="243">
        <f>FV(H89,D93,0,-(H88/(C93-D94)))*Exchange_Rate</f>
        <v>0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 t="e">
        <f>H97*Common_Shares/Data!C4</f>
        <v>#DIV/0!</v>
      </c>
      <c r="D97" s="250"/>
      <c r="E97" s="251" t="e">
        <f>PV(C94,D93,0,-F93)</f>
        <v>#DIV/0!</v>
      </c>
      <c r="F97" s="250"/>
      <c r="H97" s="251" t="e">
        <f>PV(C94,D93,0,-I93)</f>
        <v>#DIV/0!</v>
      </c>
      <c r="I97" s="251" t="e">
        <f>PV(C93,D93,0,-I93)</f>
        <v>#DIV/0!</v>
      </c>
      <c r="K97" s="75"/>
    </row>
    <row r="98" spans="2:11" ht="15" customHeight="1" x14ac:dyDescent="0.35">
      <c r="B98" s="18" t="s">
        <v>135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 t="e">
        <f>MIN(F100*(1-C94),E100)</f>
        <v>#DIV/0!</v>
      </c>
      <c r="E100" s="257" t="e">
        <f>MAX(E97+H98+E99,0)</f>
        <v>#DIV/0!</v>
      </c>
      <c r="F100" s="257" t="e">
        <f>(E100+H100)/2</f>
        <v>#DIV/0!</v>
      </c>
      <c r="H100" s="257" t="e">
        <f>MAX(H97+H98+H99,0)</f>
        <v>#DIV/0!</v>
      </c>
      <c r="I100" s="257" t="e">
        <f>MAX(I97+H98+H99,0)</f>
        <v>#DIV/0!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275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0</v>
      </c>
      <c r="E103" s="251">
        <f>PV(C94,D93,0,-F94)</f>
        <v>0</v>
      </c>
      <c r="F103" s="257">
        <f>(E103+H103)/2</f>
        <v>0</v>
      </c>
      <c r="H103" s="251">
        <f>PV(C94,D93,0,-I94)</f>
        <v>0</v>
      </c>
      <c r="I103" s="257">
        <f>PV(C93,D93,0,-I94)</f>
        <v>0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 t="e">
        <f>(D100+D103)/2</f>
        <v>#DIV/0!</v>
      </c>
      <c r="E106" s="251" t="e">
        <f>(E100+E103)/2</f>
        <v>#DIV/0!</v>
      </c>
      <c r="F106" s="257" t="e">
        <f>(F100+F103)/2</f>
        <v>#DIV/0!</v>
      </c>
      <c r="H106" s="251" t="e">
        <f>(H100+H103)/2</f>
        <v>#DIV/0!</v>
      </c>
      <c r="I106" s="251" t="e">
        <f>(I100+I103)/2</f>
        <v>#DIV/0!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276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268</v>
      </c>
      <c r="C2" s="1"/>
    </row>
    <row r="3" spans="2:3" x14ac:dyDescent="0.35">
      <c r="B3" s="62"/>
      <c r="C3" s="62"/>
    </row>
    <row r="4" spans="2:3" x14ac:dyDescent="0.35">
      <c r="B4" s="60" t="s">
        <v>266</v>
      </c>
      <c r="C4" s="61" t="s">
        <v>267</v>
      </c>
    </row>
    <row r="5" spans="2:3" x14ac:dyDescent="0.35">
      <c r="B5" s="60"/>
      <c r="C5" s="61"/>
    </row>
    <row r="6" spans="2:3" x14ac:dyDescent="0.35">
      <c r="B6" s="63" t="s">
        <v>269</v>
      </c>
      <c r="C6" s="64" t="s">
        <v>270</v>
      </c>
    </row>
    <row r="7" spans="2:3" x14ac:dyDescent="0.35">
      <c r="B7" s="63"/>
      <c r="C7" s="64"/>
    </row>
    <row r="8" spans="2:3" x14ac:dyDescent="0.35">
      <c r="B8" s="298"/>
      <c r="C8" s="65" t="s">
        <v>271</v>
      </c>
    </row>
    <row r="10" spans="2:3" x14ac:dyDescent="0.35">
      <c r="B10" s="291" t="s">
        <v>272</v>
      </c>
    </row>
    <row r="11" spans="2:3" x14ac:dyDescent="0.35">
      <c r="B11" s="292">
        <f>Inputs!C6</f>
        <v>45624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2024-12-27T08:03:49Z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