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56855C25-7456-43BA-964A-E2729E297E9A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G2" i="1"/>
  <c r="F96" i="4" l="1"/>
  <c r="E95" i="4"/>
  <c r="E92" i="4"/>
  <c r="F97" i="4"/>
  <c r="D53" i="4"/>
  <c r="D93" i="3"/>
  <c r="B11" i="5" l="1"/>
  <c r="B47" i="4" l="1"/>
  <c r="C49" i="3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J27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G56" i="2" l="1"/>
  <c r="F56" i="2"/>
  <c r="M56" i="2"/>
  <c r="E56" i="2"/>
  <c r="L56" i="2"/>
  <c r="D56" i="2"/>
  <c r="K56" i="2"/>
  <c r="I56" i="2"/>
  <c r="H56" i="2"/>
  <c r="K33" i="2"/>
  <c r="C27" i="2"/>
  <c r="C56" i="2" s="1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7" i="2" s="1"/>
  <c r="C59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<sst xmlns="http://schemas.openxmlformats.org/spreadsheetml/2006/main" count="403" uniqueCount="286">
  <si>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</si>
  <si>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</si>
  <si>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</si>
  <si>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</si>
  <si>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</si>
  <si>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</si>
  <si>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</si>
  <si>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</si>
  <si>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</si>
  <si>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</si>
  <si>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</si>
  <si>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</si>
  <si>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</si>
  <si>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</si>
  <si>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</si>
  <si>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</si>
  <si>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</si>
  <si>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</si>
  <si>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</si>
  <si>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</si>
  <si>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</si>
  <si>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</si>
  <si>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</si>
  <si>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</si>
  <si>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</si>
  <si>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</si>
  <si>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</si>
  <si>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</si>
  <si>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</si>
  <si>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</si>
  <si>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</si>
  <si>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</si>
  <si>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</si>
  <si>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</si>
  <si>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</si>
  <si>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</si>
  <si>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</si>
  <si>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</si>
  <si>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</si>
  <si>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</si>
  <si>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</si>
  <si>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</si>
  <si>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</si>
  <si>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</si>
  <si>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</si>
  <si>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</si>
  <si>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</si>
  <si>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</si>
  <si>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</si>
  <si>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</si>
  <si>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</si>
  <si>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</si>
  <si>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</si>
  <si>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</si>
  <si>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</si>
  <si>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</si>
  <si>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</si>
  <si>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</si>
  <si>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</si>
  <si>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</si>
  <si>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</si>
  <si>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</si>
  <si>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</si>
  <si>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</si>
  <si>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</si>
  <si>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</si>
  <si>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</si>
  <si>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</si>
  <si>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</si>
  <si>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</si>
  <si>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</si>
  <si>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</si>
  <si>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</si>
  <si>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</si>
  <si>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</si>
  <si>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</si>
  <si>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</si>
  <si>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</si>
  <si>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</si>
  <si>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</si>
  <si>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</si>
  <si>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</si>
  <si>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</si>
  <si>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</si>
  <si>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</si>
  <si>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</si>
  <si>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</si>
  <si>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</si>
  <si>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</si>
  <si>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</si>
  <si>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</si>
  <si>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</si>
  <si>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</si>
  <si>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</si>
  <si>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</si>
  <si>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</si>
  <si>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</si>
  <si>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</si>
  <si>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</si>
  <si>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</si>
  <si>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</si>
  <si>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</si>
  <si>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</si>
  <si>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</si>
  <si>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</si>
  <si>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</si>
  <si>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</si>
  <si>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</si>
  <si>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</si>
  <si>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</si>
  <si>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</si>
  <si>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</si>
  <si>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</si>
  <si>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</si>
  <si>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</si>
  <si>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</si>
  <si>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</si>
  <si>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</si>
  <si>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</si>
  <si>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</si>
  <si>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</si>
  <si>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</si>
  <si>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</si>
  <si>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</si>
  <si>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</si>
  <si>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</si>
  <si>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</si>
  <si>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</si>
  <si>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</si>
  <si>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</si>
  <si>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</si>
  <si>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</si>
  <si>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</si>
  <si>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</si>
  <si>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</si>
  <si>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</si>
  <si>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</si>
  <si>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</si>
  <si>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</si>
  <si>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</si>
  <si>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</si>
  <si>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</si>
  <si>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</si>
  <si>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</si>
  <si>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</si>
  <si>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</si>
  <si>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</si>
  <si>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</si>
  <si>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</si>
  <si>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</si>
  <si>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</si>
  <si>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</si>
  <si>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</si>
  <si>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</si>
  <si>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</si>
  <si>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</si>
  <si>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</si>
  <si>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</si>
  <si>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</si>
  <si>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</si>
  <si>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</si>
  <si>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</si>
  <si>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</si>
  <si>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</si>
  <si>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</si>
  <si>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</si>
  <si>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</si>
  <si>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</si>
  <si>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</si>
  <si>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</si>
  <si>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</si>
  <si>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</si>
  <si>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</si>
  <si>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</si>
  <si>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</si>
  <si>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</si>
  <si>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</si>
  <si>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</si>
  <si>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</si>
  <si>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</si>
  <si>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</si>
  <si>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</si>
  <si>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</si>
  <si>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</si>
  <si>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</si>
  <si>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</si>
  <si>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</si>
  <si>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</si>
  <si>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</si>
  <si>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</si>
  <si>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</si>
  <si>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</si>
  <si>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</si>
  <si>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</si>
  <si>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</si>
  <si>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</si>
  <si>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</si>
  <si>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</si>
  <si>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</si>
  <si>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</si>
  <si>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</si>
  <si>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</si>
  <si>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</si>
  <si>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</si>
  <si>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</si>
  <si>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</si>
  <si>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</si>
  <si>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</si>
  <si>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</si>
  <si>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</si>
  <si>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</si>
  <si>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</si>
  <si>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</si>
  <si>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</si>
  <si>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</si>
  <si>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</si>
  <si>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</si>
  <si>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</si>
  <si>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</si>
  <si>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</si>
  <si>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</si>
  <si>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</si>
  <si>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</si>
  <si>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</si>
  <si>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</si>
  <si>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</si>
  <si>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</si>
  <si>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</si>
  <si>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</si>
  <si>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</si>
  <si>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</si>
  <si>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</si>
  <si>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</si>
  <si>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</si>
  <si>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</si>
  <si>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</si>
  <si>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</si>
  <si>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</si>
  <si>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</si>
  <si>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</si>
  <si>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</si>
  <si>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</si>
  <si>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</si>
  <si>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</si>
  <si>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</si>
  <si>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</si>
  <si>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</si>
  <si>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</si>
  <si>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</si>
  <si>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</si>
  <si>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</si>
  <si>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</si>
  <si>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</si>
  <si>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</si>
  <si>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</si>
  <si>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</si>
  <si>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</si>
  <si>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</si>
  <si>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</si>
  <si>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</si>
  <si>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</si>
  <si>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</si>
  <si>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</si>
  <si>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</si>
  <si>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</si>
  <si>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</si>
  <si>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</si>
  <si>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</si>
  <si>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</si>
  <si>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</si>
  <si>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</si>
  <si>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</si>
  <si>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</si>
  <si>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</si>
  <si>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</si>
  <si>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</si>
  <si>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</si>
  <si>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</si>
  <si>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PlaceHolder_5</t>
    <phoneticPr fontId="3" type="noConversion"/>
  </si>
  <si>
    <t>0011.HK</t>
  </si>
  <si>
    <t>恒生銀行</t>
  </si>
  <si>
    <t xml:space="preserve">Superior Cycl. </t>
  </si>
  <si>
    <t>C0014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</si>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</sst>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190</v>
      </c>
    </row>
    <row r="4" spans="1:5" x14ac:dyDescent="0.35">
      <c r="B4" s="46" t="s">
        <v>170</v>
      </c>
      <c r="C4" s="66" t="s">
        <v>279</v>
      </c>
      <c r="D4" s="66"/>
    </row>
    <row r="5" spans="1:5" x14ac:dyDescent="0.35">
      <c r="B5" s="46" t="s">
        <v>171</v>
      </c>
      <c r="C5" s="67" t="s">
        <v>280</v>
      </c>
    </row>
    <row r="6" spans="1:5" x14ac:dyDescent="0.35">
      <c r="B6" s="46" t="s">
        <v>271</v>
      </c>
      <c r="C6" s="68">
        <v>45606</v>
      </c>
    </row>
    <row r="7" spans="1:5" x14ac:dyDescent="0.35">
      <c r="B7" s="39" t="s">
        <v>4</v>
      </c>
      <c r="C7" s="130">
        <v>8</v>
      </c>
    </row>
    <row r="8" spans="1:5" x14ac:dyDescent="0.35">
      <c r="B8" s="39" t="s">
        <v>191</v>
      </c>
      <c r="C8" s="123" t="s">
        <v>281</v>
      </c>
    </row>
    <row r="9" spans="1:5" x14ac:dyDescent="0.35">
      <c r="B9" s="39" t="s">
        <v>192</v>
      </c>
      <c r="C9" s="124" t="s">
        <v>282</v>
      </c>
    </row>
    <row r="10" spans="1:5" x14ac:dyDescent="0.35">
      <c r="B10" s="39" t="s">
        <v>193</v>
      </c>
      <c r="C10" s="70">
        <v>1882267536</v>
      </c>
    </row>
    <row r="11" spans="1:5" x14ac:dyDescent="0.35">
      <c r="B11" s="39" t="s">
        <v>194</v>
      </c>
      <c r="C11" s="69" t="s">
        <v>2</v>
      </c>
    </row>
    <row r="12" spans="1:5" x14ac:dyDescent="0.35">
      <c r="B12" s="71" t="s">
        <v>10</v>
      </c>
      <c r="C12" s="72">
        <v>45291</v>
      </c>
    </row>
    <row r="13" spans="1:5" x14ac:dyDescent="0.35">
      <c r="B13" s="71" t="s">
        <v>11</v>
      </c>
      <c r="C13" s="73">
        <v>1000000</v>
      </c>
    </row>
    <row r="14" spans="1:5" x14ac:dyDescent="0.35">
      <c r="B14" s="71" t="s">
        <v>195</v>
      </c>
      <c r="C14" s="72">
        <v>45473</v>
      </c>
    </row>
    <row r="15" spans="1:5" x14ac:dyDescent="0.35">
      <c r="B15" s="71" t="s">
        <v>223</v>
      </c>
      <c r="C15" s="122" t="s">
        <v>167</v>
      </c>
    </row>
    <row r="16" spans="1:5" x14ac:dyDescent="0.35">
      <c r="B16" s="74" t="s">
        <v>89</v>
      </c>
      <c r="C16" s="125">
        <v>0.23499999999999999</v>
      </c>
      <c r="D16" s="75"/>
      <c r="E16" s="25" t="s">
        <v>254</v>
      </c>
    </row>
    <row r="17" spans="2:13" x14ac:dyDescent="0.35">
      <c r="B17" s="56" t="s">
        <v>199</v>
      </c>
      <c r="C17" s="126" t="s">
        <v>283</v>
      </c>
      <c r="D17" s="75"/>
    </row>
    <row r="18" spans="2:13" x14ac:dyDescent="0.35">
      <c r="B18" s="56" t="s">
        <v>212</v>
      </c>
      <c r="C18" s="126" t="s">
        <v>283</v>
      </c>
      <c r="D18" s="75"/>
    </row>
    <row r="19" spans="2:13" x14ac:dyDescent="0.35">
      <c r="B19" s="56" t="s">
        <v>213</v>
      </c>
      <c r="C19" s="126" t="s">
        <v>283</v>
      </c>
      <c r="D19" s="75"/>
    </row>
    <row r="20" spans="2:13" x14ac:dyDescent="0.35">
      <c r="B20" s="57" t="s">
        <v>202</v>
      </c>
      <c r="C20" s="126" t="s">
        <v>283</v>
      </c>
      <c r="D20" s="75"/>
    </row>
    <row r="21" spans="2:13" x14ac:dyDescent="0.35">
      <c r="B21" s="2" t="s">
        <v>205</v>
      </c>
      <c r="C21" s="126" t="s">
        <v>283</v>
      </c>
      <c r="D21" s="75"/>
    </row>
    <row r="22" spans="2:13" ht="69.75" x14ac:dyDescent="0.35">
      <c r="B22" s="59" t="s">
        <v>204</v>
      </c>
      <c r="C22" s="127" t="s">
        <v>284</v>
      </c>
      <c r="D22" s="75"/>
    </row>
    <row r="24" spans="2:13" x14ac:dyDescent="0.35">
      <c r="B24" s="76" t="s">
        <v>124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12</v>
      </c>
      <c r="C25" s="80">
        <v>69317</v>
      </c>
      <c r="D25" s="80">
        <v>43948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98</v>
      </c>
      <c r="C26" s="82">
        <v>2909</v>
      </c>
      <c r="D26" s="82">
        <v>2280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96</v>
      </c>
      <c r="C27" s="82">
        <v>14624</v>
      </c>
      <c r="D27" s="82">
        <v>13795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99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27144</v>
      </c>
      <c r="D29" s="82">
        <v>9231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103</v>
      </c>
      <c r="C30" s="82">
        <v>-10</v>
      </c>
      <c r="D30" s="82">
        <v>-14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102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97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100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108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137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>
        <v>1542086</v>
      </c>
      <c r="D37" s="82">
        <v>1709844</v>
      </c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>
        <v>526844</v>
      </c>
      <c r="D38" s="82">
        <v>544067</v>
      </c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17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18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128</v>
      </c>
      <c r="C41" s="82">
        <v>166367</v>
      </c>
      <c r="D41" s="82">
        <v>168184</v>
      </c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129</v>
      </c>
      <c r="C42" s="82">
        <v>47</v>
      </c>
      <c r="D42" s="82">
        <v>53</v>
      </c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127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183</v>
      </c>
      <c r="C44" s="86">
        <f>3.2+1.2*3</f>
        <v>6.8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7.1353620146904509E-2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Sheet- Error</v>
      </c>
      <c r="C47" s="89" t="s">
        <v>28</v>
      </c>
      <c r="D47" s="89" t="s">
        <v>172</v>
      </c>
      <c r="E47" s="90" t="s">
        <v>30</v>
      </c>
    </row>
    <row r="48" spans="2:13" x14ac:dyDescent="0.35">
      <c r="B48" s="9" t="s">
        <v>31</v>
      </c>
      <c r="C48" s="91"/>
      <c r="D48" s="114">
        <v>0.9</v>
      </c>
      <c r="E48" s="266"/>
    </row>
    <row r="49" spans="2:5" x14ac:dyDescent="0.35">
      <c r="B49" s="2" t="s">
        <v>126</v>
      </c>
      <c r="C49" s="91"/>
      <c r="D49" s="114">
        <v>0.8</v>
      </c>
      <c r="E49" s="266"/>
    </row>
    <row r="50" spans="2:5" x14ac:dyDescent="0.35">
      <c r="B50" s="9" t="s">
        <v>108</v>
      </c>
      <c r="C50" s="91"/>
      <c r="D50" s="114">
        <f>D51</f>
        <v>0.6</v>
      </c>
      <c r="E50" s="266"/>
    </row>
    <row r="51" spans="2:5" x14ac:dyDescent="0.35">
      <c r="B51" s="9" t="s">
        <v>35</v>
      </c>
      <c r="C51" s="91"/>
      <c r="D51" s="114">
        <v>0.6</v>
      </c>
      <c r="E51" s="266"/>
    </row>
    <row r="52" spans="2:5" x14ac:dyDescent="0.35">
      <c r="B52" s="9" t="s">
        <v>37</v>
      </c>
      <c r="C52" s="91"/>
      <c r="D52" s="114">
        <v>0.5</v>
      </c>
      <c r="E52" s="266"/>
    </row>
    <row r="53" spans="2:5" x14ac:dyDescent="0.35">
      <c r="B53" s="2" t="s">
        <v>144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40</v>
      </c>
      <c r="C55" s="91"/>
      <c r="D55" s="114">
        <f>D52</f>
        <v>0.5</v>
      </c>
      <c r="E55" s="266"/>
    </row>
    <row r="56" spans="2:5" x14ac:dyDescent="0.35">
      <c r="B56" s="2" t="s">
        <v>41</v>
      </c>
      <c r="C56" s="91"/>
      <c r="D56" s="114">
        <f>D50</f>
        <v>0.6</v>
      </c>
      <c r="E56" s="267" t="s">
        <v>64</v>
      </c>
    </row>
    <row r="57" spans="2:5" x14ac:dyDescent="0.35">
      <c r="B57" s="9" t="s">
        <v>111</v>
      </c>
      <c r="C57" s="91"/>
      <c r="D57" s="114">
        <v>0.6</v>
      </c>
      <c r="E57" s="267" t="s">
        <v>39</v>
      </c>
    </row>
    <row r="58" spans="2:5" x14ac:dyDescent="0.35">
      <c r="B58" s="9" t="s">
        <v>43</v>
      </c>
      <c r="C58" s="91"/>
      <c r="D58" s="114">
        <f>D48</f>
        <v>0.9</v>
      </c>
      <c r="E58" s="266"/>
    </row>
    <row r="59" spans="2:5" x14ac:dyDescent="0.35">
      <c r="B59" s="12" t="s">
        <v>44</v>
      </c>
      <c r="C59" s="93"/>
      <c r="D59" s="115">
        <f>D70</f>
        <v>0.05</v>
      </c>
      <c r="E59" s="266"/>
    </row>
    <row r="60" spans="2:5" x14ac:dyDescent="0.35">
      <c r="B60" s="9" t="s">
        <v>54</v>
      </c>
      <c r="C60" s="91"/>
      <c r="D60" s="114">
        <f>D49</f>
        <v>0.8</v>
      </c>
      <c r="E60" s="266"/>
    </row>
    <row r="61" spans="2:5" x14ac:dyDescent="0.35">
      <c r="B61" s="9" t="s">
        <v>56</v>
      </c>
      <c r="C61" s="91"/>
      <c r="D61" s="114">
        <f>D51</f>
        <v>0.6</v>
      </c>
      <c r="E61" s="266"/>
    </row>
    <row r="62" spans="2:5" x14ac:dyDescent="0.35">
      <c r="B62" s="9" t="s">
        <v>58</v>
      </c>
      <c r="C62" s="91"/>
      <c r="D62" s="114">
        <f>D52</f>
        <v>0.5</v>
      </c>
      <c r="E62" s="266"/>
    </row>
    <row r="63" spans="2:5" x14ac:dyDescent="0.35">
      <c r="B63" s="2" t="s">
        <v>145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63</v>
      </c>
      <c r="C65" s="91"/>
      <c r="D65" s="114">
        <v>0.1</v>
      </c>
      <c r="E65" s="267" t="s">
        <v>64</v>
      </c>
    </row>
    <row r="66" spans="2:5" x14ac:dyDescent="0.35">
      <c r="B66" s="9" t="s">
        <v>65</v>
      </c>
      <c r="C66" s="91"/>
      <c r="D66" s="114">
        <v>0.2</v>
      </c>
      <c r="E66" s="267" t="s">
        <v>64</v>
      </c>
    </row>
    <row r="67" spans="2:5" x14ac:dyDescent="0.35">
      <c r="B67" s="2" t="s">
        <v>42</v>
      </c>
      <c r="C67" s="91"/>
      <c r="D67" s="114">
        <f>D65</f>
        <v>0.1</v>
      </c>
      <c r="E67" s="267" t="s">
        <v>39</v>
      </c>
    </row>
    <row r="68" spans="2:5" x14ac:dyDescent="0.35">
      <c r="B68" s="9" t="s">
        <v>110</v>
      </c>
      <c r="C68" s="91"/>
      <c r="D68" s="114">
        <f>D65</f>
        <v>0.1</v>
      </c>
      <c r="E68" s="266"/>
    </row>
    <row r="69" spans="2:5" x14ac:dyDescent="0.35">
      <c r="B69" s="9" t="s">
        <v>66</v>
      </c>
      <c r="C69" s="91"/>
      <c r="D69" s="114">
        <f>D70</f>
        <v>0.05</v>
      </c>
      <c r="E69" s="266"/>
    </row>
    <row r="70" spans="2:5" x14ac:dyDescent="0.35">
      <c r="B70" s="9" t="s">
        <v>67</v>
      </c>
      <c r="C70" s="91"/>
      <c r="D70" s="114">
        <v>0.05</v>
      </c>
      <c r="E70" s="266"/>
    </row>
    <row r="71" spans="2:5" x14ac:dyDescent="0.35">
      <c r="B71" s="9" t="s">
        <v>68</v>
      </c>
      <c r="C71" s="91"/>
      <c r="D71" s="114">
        <f>D58</f>
        <v>0.9</v>
      </c>
      <c r="E71" s="266"/>
    </row>
    <row r="72" spans="2:5" ht="12" thickBot="1" x14ac:dyDescent="0.4">
      <c r="B72" s="94" t="s">
        <v>69</v>
      </c>
      <c r="C72" s="95"/>
      <c r="D72" s="116">
        <v>0</v>
      </c>
      <c r="E72" s="268"/>
    </row>
    <row r="73" spans="2:5" x14ac:dyDescent="0.35">
      <c r="B73" s="9" t="s">
        <v>32</v>
      </c>
      <c r="C73" s="91"/>
    </row>
    <row r="74" spans="2:5" x14ac:dyDescent="0.35">
      <c r="B74" s="9" t="s">
        <v>33</v>
      </c>
      <c r="C74" s="91"/>
    </row>
    <row r="75" spans="2:5" x14ac:dyDescent="0.35">
      <c r="B75" s="9" t="s">
        <v>34</v>
      </c>
      <c r="C75" s="91"/>
    </row>
    <row r="76" spans="2:5" x14ac:dyDescent="0.35">
      <c r="B76" s="8" t="s">
        <v>36</v>
      </c>
      <c r="C76" s="93"/>
    </row>
    <row r="77" spans="2:5" ht="12" thickBot="1" x14ac:dyDescent="0.4">
      <c r="B77" s="96" t="s">
        <v>16</v>
      </c>
      <c r="C77" s="97"/>
    </row>
    <row r="78" spans="2:5" ht="12" thickTop="1" x14ac:dyDescent="0.35">
      <c r="B78" s="9" t="s">
        <v>55</v>
      </c>
      <c r="C78" s="91"/>
    </row>
    <row r="79" spans="2:5" x14ac:dyDescent="0.35">
      <c r="B79" s="9" t="s">
        <v>57</v>
      </c>
      <c r="C79" s="91"/>
    </row>
    <row r="80" spans="2:5" x14ac:dyDescent="0.35">
      <c r="B80" s="9" t="s">
        <v>59</v>
      </c>
      <c r="C80" s="91"/>
    </row>
    <row r="81" spans="2:8" x14ac:dyDescent="0.35">
      <c r="B81" s="8" t="s">
        <v>60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83</v>
      </c>
      <c r="C84" s="91"/>
    </row>
    <row r="85" spans="2:8" x14ac:dyDescent="0.35">
      <c r="B85" s="56" t="s">
        <v>85</v>
      </c>
      <c r="C85" s="91"/>
    </row>
    <row r="86" spans="2:8" hidden="1" x14ac:dyDescent="0.35">
      <c r="B86" s="308" t="s">
        <v>278</v>
      </c>
      <c r="C86" s="84">
        <v>5</v>
      </c>
      <c r="D86" s="305"/>
    </row>
    <row r="87" spans="2:8" x14ac:dyDescent="0.35">
      <c r="B87" s="88" t="s">
        <v>219</v>
      </c>
      <c r="C87" s="112" t="s">
        <v>285</v>
      </c>
      <c r="D87" s="113">
        <v>0.02</v>
      </c>
    </row>
    <row r="89" spans="2:8" x14ac:dyDescent="0.35">
      <c r="B89" s="99" t="s">
        <v>118</v>
      </c>
      <c r="C89" s="309">
        <f>C24</f>
        <v>45291</v>
      </c>
      <c r="D89" s="309"/>
      <c r="E89" s="49" t="s">
        <v>182</v>
      </c>
      <c r="F89" s="49" t="s">
        <v>181</v>
      </c>
      <c r="H89" s="100"/>
    </row>
    <row r="90" spans="2:8" x14ac:dyDescent="0.35">
      <c r="B90" s="101" t="str">
        <f>"(Numbers in "&amp;Data!C4&amp;Dashboard!G6&amp;")"</f>
        <v>(Numbers in 1000000HKD)</v>
      </c>
      <c r="C90" s="310" t="s">
        <v>93</v>
      </c>
      <c r="D90" s="310"/>
      <c r="E90" s="296" t="s">
        <v>94</v>
      </c>
      <c r="F90" s="297" t="s">
        <v>94</v>
      </c>
    </row>
    <row r="91" spans="2:8" x14ac:dyDescent="0.35">
      <c r="B91" s="9" t="s">
        <v>117</v>
      </c>
      <c r="C91" s="102">
        <f>C25</f>
        <v>69317</v>
      </c>
      <c r="D91" s="103"/>
      <c r="E91" s="104">
        <f>C91</f>
        <v>69317</v>
      </c>
      <c r="F91" s="104">
        <f>C91</f>
        <v>69317</v>
      </c>
    </row>
    <row r="92" spans="2:8" x14ac:dyDescent="0.35">
      <c r="B92" s="105" t="s">
        <v>98</v>
      </c>
      <c r="C92" s="102">
        <f>C26</f>
        <v>2909</v>
      </c>
      <c r="D92" s="106">
        <f>C92/C91</f>
        <v>4.1966617135767562E-2</v>
      </c>
      <c r="E92" s="107">
        <f>E91*D92</f>
        <v>2909</v>
      </c>
      <c r="F92" s="107">
        <f>F91*D92</f>
        <v>2909</v>
      </c>
    </row>
    <row r="93" spans="2:8" x14ac:dyDescent="0.35">
      <c r="B93" s="105" t="s">
        <v>218</v>
      </c>
      <c r="C93" s="102">
        <f>C27+C28</f>
        <v>14624</v>
      </c>
      <c r="D93" s="106">
        <f>C93/C91</f>
        <v>0.2109727772407923</v>
      </c>
      <c r="E93" s="107">
        <f>E91*D93</f>
        <v>14624</v>
      </c>
      <c r="F93" s="107">
        <f>F91*D93</f>
        <v>14624</v>
      </c>
    </row>
    <row r="94" spans="2:8" x14ac:dyDescent="0.35">
      <c r="B94" s="105" t="s">
        <v>224</v>
      </c>
      <c r="C94" s="102">
        <f>C29</f>
        <v>27144</v>
      </c>
      <c r="D94" s="106">
        <f>C94/C91</f>
        <v>0.39159225009737869</v>
      </c>
      <c r="E94" s="108"/>
      <c r="F94" s="107">
        <f>F91*D94</f>
        <v>27144</v>
      </c>
    </row>
    <row r="95" spans="2:8" x14ac:dyDescent="0.35">
      <c r="B95" s="18" t="s">
        <v>217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102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153</v>
      </c>
      <c r="C97" s="102">
        <f>MAX(C30,0)/(1-C16)</f>
        <v>0</v>
      </c>
      <c r="D97" s="106">
        <f>C97/C91</f>
        <v>0</v>
      </c>
      <c r="E97" s="108"/>
      <c r="F97" s="107">
        <f>F91*D97</f>
        <v>0</v>
      </c>
    </row>
    <row r="98" spans="2:6" x14ac:dyDescent="0.35">
      <c r="B98" s="8" t="s">
        <v>183</v>
      </c>
      <c r="C98" s="109">
        <f>C44</f>
        <v>6.8</v>
      </c>
      <c r="D98" s="110"/>
      <c r="E98" s="111">
        <f>F98</f>
        <v>6.8</v>
      </c>
      <c r="F98" s="111">
        <f>C98</f>
        <v>6.8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0011.HK : 恒生銀行</v>
      </c>
      <c r="D2" s="3"/>
      <c r="E2" s="7"/>
      <c r="F2" s="7"/>
      <c r="G2" s="313" t="str">
        <f>IF(Inputs!D4="","",Inputs!D4)</f>
        <v/>
      </c>
      <c r="H2" s="313"/>
    </row>
    <row r="3" spans="1:10" ht="15.75" customHeight="1" x14ac:dyDescent="0.35">
      <c r="B3" s="9" t="s">
        <v>170</v>
      </c>
      <c r="C3" s="311" t="str">
        <f>Inputs!C4</f>
        <v>0011.HK</v>
      </c>
      <c r="D3" s="312"/>
      <c r="E3" s="3"/>
      <c r="F3" s="9" t="s">
        <v>1</v>
      </c>
      <c r="G3" s="10">
        <v>95.3</v>
      </c>
      <c r="H3" s="11" t="s">
        <v>259</v>
      </c>
    </row>
    <row r="4" spans="1:10" ht="15.75" customHeight="1" x14ac:dyDescent="0.35">
      <c r="B4" s="12" t="s">
        <v>171</v>
      </c>
      <c r="C4" s="313" t="str">
        <f>Inputs!C5</f>
        <v>恒生銀行</v>
      </c>
      <c r="D4" s="314"/>
      <c r="E4" s="3"/>
      <c r="F4" s="9" t="s">
        <v>3</v>
      </c>
      <c r="G4" s="317">
        <f>Inputs!C10</f>
        <v>1882267536</v>
      </c>
      <c r="H4" s="317"/>
      <c r="I4" s="14"/>
    </row>
    <row r="5" spans="1:10" ht="15.75" customHeight="1" x14ac:dyDescent="0.35">
      <c r="B5" s="9" t="s">
        <v>148</v>
      </c>
      <c r="C5" s="315">
        <f>Inputs!C6</f>
        <v>45606</v>
      </c>
      <c r="D5" s="316"/>
      <c r="E5" s="16"/>
      <c r="F5" s="12" t="s">
        <v>92</v>
      </c>
      <c r="G5" s="320">
        <f>G3*G4/1000000</f>
        <v>179380.0961808</v>
      </c>
      <c r="H5" s="320"/>
      <c r="I5" s="17"/>
      <c r="J5" s="18"/>
    </row>
    <row r="6" spans="1:10" ht="15.75" customHeight="1" x14ac:dyDescent="0.35">
      <c r="B6" s="3" t="s">
        <v>4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5</v>
      </c>
      <c r="G6" s="321" t="str">
        <f>Inputs!C11</f>
        <v>HKD</v>
      </c>
      <c r="H6" s="321"/>
      <c r="I6" s="17"/>
    </row>
    <row r="7" spans="1:10" ht="15.75" customHeight="1" x14ac:dyDescent="0.35">
      <c r="B7" s="8" t="s">
        <v>168</v>
      </c>
      <c r="C7" s="128" t="str">
        <f>Inputs!C8</f>
        <v xml:space="preserve">Superior Cycl. </v>
      </c>
      <c r="D7" s="128" t="str">
        <f>Inputs!C9</f>
        <v>C0014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163</v>
      </c>
    </row>
    <row r="10" spans="1:10" ht="15.75" customHeight="1" x14ac:dyDescent="0.35">
      <c r="B10" s="2" t="s">
        <v>155</v>
      </c>
      <c r="C10" s="24">
        <v>4.2000000000000003E-2</v>
      </c>
      <c r="F10" s="25" t="s">
        <v>162</v>
      </c>
    </row>
    <row r="11" spans="1:10" ht="15.75" customHeight="1" thickBot="1" x14ac:dyDescent="0.4">
      <c r="B11" s="26" t="s">
        <v>159</v>
      </c>
      <c r="C11" s="27">
        <v>5.2299999999999999E-2</v>
      </c>
      <c r="D11" s="28" t="s">
        <v>167</v>
      </c>
      <c r="F11" s="25" t="s">
        <v>157</v>
      </c>
    </row>
    <row r="12" spans="1:10" ht="15.75" customHeight="1" thickTop="1" x14ac:dyDescent="0.35">
      <c r="B12" s="3" t="s">
        <v>221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156</v>
      </c>
      <c r="C14" s="24">
        <v>1.8100000000000002E-2</v>
      </c>
      <c r="F14" s="25" t="s">
        <v>161</v>
      </c>
    </row>
    <row r="15" spans="1:10" ht="15.75" customHeight="1" x14ac:dyDescent="0.35">
      <c r="B15" s="2" t="s">
        <v>164</v>
      </c>
      <c r="C15" s="24">
        <v>6.5000000000000002E-2</v>
      </c>
      <c r="F15" s="25" t="s">
        <v>160</v>
      </c>
    </row>
    <row r="16" spans="1:10" ht="15.75" customHeight="1" thickBot="1" x14ac:dyDescent="0.4">
      <c r="B16" s="26" t="s">
        <v>165</v>
      </c>
      <c r="C16" s="27">
        <v>0.16</v>
      </c>
      <c r="D16" s="29" t="str">
        <f>Inputs!C15</f>
        <v>HK</v>
      </c>
      <c r="F16" s="25" t="s">
        <v>158</v>
      </c>
    </row>
    <row r="17" spans="1:8" ht="15.75" customHeight="1" thickTop="1" x14ac:dyDescent="0.35">
      <c r="B17" s="3" t="s">
        <v>222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188</v>
      </c>
      <c r="G19" s="293"/>
      <c r="H19" s="293"/>
    </row>
    <row r="20" spans="1:8" ht="15.75" customHeight="1" thickBot="1" x14ac:dyDescent="0.4">
      <c r="B20" s="30" t="s">
        <v>235</v>
      </c>
      <c r="C20" s="31">
        <f>C21*C22*C23</f>
        <v>0.31135161135161138</v>
      </c>
      <c r="F20" s="3" t="s">
        <v>187</v>
      </c>
      <c r="G20" s="121">
        <v>0.15</v>
      </c>
      <c r="H20" s="307">
        <v>4</v>
      </c>
    </row>
    <row r="21" spans="1:8" ht="15.75" customHeight="1" thickTop="1" x14ac:dyDescent="0.35">
      <c r="B21" s="32" t="s">
        <v>240</v>
      </c>
      <c r="C21" s="33">
        <f>Data!C13</f>
        <v>0.74706060562344012</v>
      </c>
      <c r="F21" s="3"/>
      <c r="G21" s="34"/>
    </row>
    <row r="22" spans="1:8" ht="15.75" customHeight="1" x14ac:dyDescent="0.35">
      <c r="B22" s="35" t="s">
        <v>247</v>
      </c>
      <c r="C22" s="36">
        <f>Data!C48</f>
        <v>4.0572962791484458E-2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>
        <f>1/Data!C53</f>
        <v>10.272083934583936</v>
      </c>
      <c r="F23" s="39" t="s">
        <v>166</v>
      </c>
      <c r="G23" s="40">
        <f>G3/(Data!C34*Data!C4/Common_Shares*Exchange_Rate)</f>
        <v>1.0782192152337904</v>
      </c>
    </row>
    <row r="24" spans="1:8" ht="15.75" customHeight="1" x14ac:dyDescent="0.35">
      <c r="B24" s="41" t="s">
        <v>241</v>
      </c>
      <c r="C24" s="42">
        <f>Fin_Analysis!I81</f>
        <v>0.39159225009737869</v>
      </c>
      <c r="F24" s="39" t="s">
        <v>226</v>
      </c>
      <c r="G24" s="43">
        <f>G3/(Fin_Analysis!H86*G7)</f>
        <v>9.5163874130379433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154</v>
      </c>
      <c r="G25" s="44">
        <f>Fin_Analysis!I88</f>
        <v>0.67902869264069265</v>
      </c>
    </row>
    <row r="26" spans="1:8" ht="15.75" customHeight="1" x14ac:dyDescent="0.35">
      <c r="B26" s="45" t="s">
        <v>243</v>
      </c>
      <c r="C26" s="44">
        <f>Fin_Analysis!I80+Fin_Analysis!I82</f>
        <v>0</v>
      </c>
      <c r="F26" s="46" t="s">
        <v>169</v>
      </c>
      <c r="G26" s="47">
        <f>Fin_Analysis!H88*Exchange_Rate/G3</f>
        <v>7.1353620146904509E-2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150</v>
      </c>
      <c r="D28" s="50" t="s">
        <v>151</v>
      </c>
      <c r="E28" s="51"/>
      <c r="F28" s="52" t="s">
        <v>211</v>
      </c>
      <c r="G28" s="318" t="s">
        <v>225</v>
      </c>
      <c r="H28" s="318"/>
    </row>
    <row r="29" spans="1:8" ht="15.75" customHeight="1" x14ac:dyDescent="0.35">
      <c r="B29" s="3" t="s">
        <v>152</v>
      </c>
      <c r="C29" s="53">
        <f>IF(Fin_Analysis!C108="Profit",Fin_Analysis!D100,IF(Fin_Analysis!C108="Dividend",Fin_Analysis!D103,Fin_Analysis!D106))</f>
        <v>78.801695238375288</v>
      </c>
      <c r="D29" s="54">
        <f>G29*(1+G20)</f>
        <v>139.49801621182104</v>
      </c>
      <c r="E29" s="3"/>
      <c r="F29" s="55">
        <f>IF(Fin_Analysis!C108="Profit",Fin_Analysis!F100,IF(Fin_Analysis!C108="Dividend",Fin_Analysis!F103,Fin_Analysis!F106))</f>
        <v>92.707876751029758</v>
      </c>
      <c r="G29" s="319">
        <f>IF(Fin_Analysis!C108="Profit",Fin_Analysis!I100,IF(Fin_Analysis!C108="Dividend",Fin_Analysis!I103,Fin_Analysis!I106))</f>
        <v>121.30262279288786</v>
      </c>
      <c r="H29" s="319"/>
    </row>
    <row r="30" spans="1:8" ht="15.75" customHeight="1" x14ac:dyDescent="0.35"/>
    <row r="31" spans="1:8" ht="15.75" customHeight="1" x14ac:dyDescent="0.35">
      <c r="A31" s="4"/>
      <c r="B31" s="5" t="s">
        <v>197</v>
      </c>
    </row>
    <row r="32" spans="1:8" ht="15.75" customHeight="1" x14ac:dyDescent="0.35">
      <c r="B32" s="88" t="s">
        <v>198</v>
      </c>
      <c r="C32" s="293"/>
      <c r="D32" s="293"/>
    </row>
    <row r="33" spans="1:4" ht="15.75" customHeight="1" x14ac:dyDescent="0.35">
      <c r="B33" s="56" t="s">
        <v>199</v>
      </c>
      <c r="C33" s="117" t="str">
        <f>Inputs!C17</f>
        <v>agree</v>
      </c>
    </row>
    <row r="34" spans="1:4" ht="15.75" customHeight="1" x14ac:dyDescent="0.35">
      <c r="B34" s="57" t="s">
        <v>200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212</v>
      </c>
      <c r="C36" s="117" t="str">
        <f>Inputs!C18</f>
        <v>agree</v>
      </c>
    </row>
    <row r="37" spans="1:4" ht="15.75" customHeight="1" x14ac:dyDescent="0.35">
      <c r="B37" s="56" t="s">
        <v>213</v>
      </c>
      <c r="C37" s="117" t="str">
        <f>Inputs!C19</f>
        <v>agree</v>
      </c>
    </row>
    <row r="38" spans="1:4" ht="15.75" customHeight="1" x14ac:dyDescent="0.35">
      <c r="B38" s="88" t="s">
        <v>201</v>
      </c>
      <c r="C38" s="293"/>
      <c r="D38" s="293"/>
    </row>
    <row r="39" spans="1:4" ht="15.75" customHeight="1" x14ac:dyDescent="0.35">
      <c r="B39" s="57" t="s">
        <v>202</v>
      </c>
      <c r="C39" s="117" t="str">
        <f>Inputs!C20</f>
        <v>agree</v>
      </c>
    </row>
    <row r="40" spans="1:4" ht="15.75" customHeight="1" x14ac:dyDescent="0.35">
      <c r="B40" s="2" t="s">
        <v>205</v>
      </c>
      <c r="C40" s="117" t="str">
        <f>Inputs!C21</f>
        <v>agree</v>
      </c>
    </row>
    <row r="41" spans="1:4" ht="15.75" customHeight="1" x14ac:dyDescent="0.35"/>
    <row r="42" spans="1:4" ht="15.75" customHeight="1" x14ac:dyDescent="0.35">
      <c r="A42" s="4"/>
      <c r="B42" s="5" t="s">
        <v>203</v>
      </c>
    </row>
    <row r="43" spans="1:4" ht="58.15" x14ac:dyDescent="0.35">
      <c r="B43" s="59" t="s">
        <v>204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9</v>
      </c>
      <c r="C2" s="135"/>
      <c r="D2" s="136"/>
      <c r="E2" s="137" t="s">
        <v>175</v>
      </c>
      <c r="F2" s="138" t="s">
        <v>178</v>
      </c>
      <c r="G2" s="137" t="s">
        <v>179</v>
      </c>
      <c r="H2" s="139" t="s">
        <v>180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10</v>
      </c>
      <c r="C3" s="142">
        <f>Inputs!C12</f>
        <v>45291</v>
      </c>
      <c r="E3" s="143" t="s">
        <v>176</v>
      </c>
      <c r="F3" s="144" t="str">
        <f>H14</f>
        <v/>
      </c>
      <c r="G3" s="144">
        <f>C14</f>
        <v>51784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11</v>
      </c>
      <c r="C4" s="13">
        <f>Inputs!C13</f>
        <v>1000000</v>
      </c>
      <c r="D4" s="2" t="str">
        <f>Dashboard!G6</f>
        <v>HKD</v>
      </c>
      <c r="E4" s="143" t="s">
        <v>177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124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12</v>
      </c>
      <c r="C6" s="147">
        <f>IF(Inputs!C25=""," ",Inputs!C25)</f>
        <v>69317</v>
      </c>
      <c r="D6" s="147">
        <f>IF(Inputs!D25="","",Inputs!D25)</f>
        <v>43948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13</v>
      </c>
      <c r="C7" s="148">
        <f t="shared" ref="C7:M7" si="1">IF(D6="","",C6/D6-1)</f>
        <v>0.57725038682078811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98</v>
      </c>
      <c r="C8" s="149">
        <f>IF(Inputs!C26="","",Inputs!C26)</f>
        <v>2909</v>
      </c>
      <c r="D8" s="149">
        <f>IF(Inputs!D26="","",Inputs!D26)</f>
        <v>2280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95</v>
      </c>
      <c r="C9" s="279">
        <f t="shared" ref="C9:M9" si="2">IF(C6="","",(C6-C8))</f>
        <v>66408</v>
      </c>
      <c r="D9" s="279">
        <f t="shared" si="2"/>
        <v>41668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96</v>
      </c>
      <c r="C10" s="149">
        <f>IF(Inputs!C27="","",Inputs!C27)</f>
        <v>14624</v>
      </c>
      <c r="D10" s="149">
        <f>IF(Inputs!D27="","",Inputs!D27)</f>
        <v>13795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99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214</v>
      </c>
      <c r="C12" s="149">
        <f>IF(Inputs!C30="","",MAX(Inputs!C30,0)/(1-Fin_Analysis!$I$84))</f>
        <v>0</v>
      </c>
      <c r="D12" s="149">
        <f>IF(Inputs!D30="","",MAX(Inputs!D30,0)/(1-Fin_Analysis!$I$84))</f>
        <v>0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215</v>
      </c>
      <c r="C13" s="300">
        <f t="shared" ref="C13:M13" si="3">IF(C14="","",C14/C6)</f>
        <v>0.74706060562344012</v>
      </c>
      <c r="D13" s="300">
        <f t="shared" si="3"/>
        <v>0.63422681350687171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207</v>
      </c>
      <c r="C14" s="302">
        <f>IF(C6="","",C9-C10-MAX(C11,0)-MAX(C12,0))</f>
        <v>51784</v>
      </c>
      <c r="D14" s="302">
        <f t="shared" ref="D14:M14" si="4">IF(D6="","",D9-D10-MAX(D11,0)-MAX(D12,0))</f>
        <v>27873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216</v>
      </c>
      <c r="C15" s="304">
        <f>IF(D14="","",IF(ABS(C14+D14)=ABS(C14)+ABS(D14),IF(C14&lt;0,-1,1)*(C14-D14)/D14,"Turn"))</f>
        <v>0.85785527212714818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102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27144</v>
      </c>
      <c r="D17" s="149">
        <f>IF(Inputs!D29="","",Inputs!D29)</f>
        <v>9231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91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97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209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100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104</v>
      </c>
      <c r="C22" s="283">
        <f>IF(C6="","",C14-MAX(C16,0)-MAX(C17,0)-ABS(MAX(C21,0)-MAX(C19,0)))</f>
        <v>24640</v>
      </c>
      <c r="D22" s="283">
        <f t="shared" ref="D22:M22" si="8">IF(D6="","",D14-MAX(D16,0)-MAX(D17,0)-ABS(MAX(D21,0)-MAX(D19,0)))</f>
        <v>18642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105</v>
      </c>
      <c r="C23" s="148">
        <f t="shared" ref="C23:M23" si="9">IF(C6="","",C24/C6)</f>
        <v>0.27193329197743699</v>
      </c>
      <c r="D23" s="148">
        <f t="shared" si="9"/>
        <v>0.32450009101665606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106</v>
      </c>
      <c r="C24" s="281">
        <f>IF(C6="","",C22*(1-Fin_Analysis!$I$84))</f>
        <v>18849.599999999999</v>
      </c>
      <c r="D24" s="282">
        <f>IF(D6="","",D22*(1-Fin_Analysis!$I$84))</f>
        <v>14261.130000000001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119</v>
      </c>
      <c r="C25" s="152">
        <f>IF(D24="","",IF(ABS(C24+D24)=ABS(C24)+ABS(D24),IF(C24&lt;0,-1,1)*(C24-D24)/D24,"Turn"))</f>
        <v>0.3217465937131207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125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14</v>
      </c>
      <c r="C27" s="153">
        <f>IF(C34="","",C34+C30)</f>
        <v>1708453</v>
      </c>
      <c r="D27" s="153">
        <f>IF(D34="","",D34+D30)</f>
        <v>1878028</v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108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137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1542086</v>
      </c>
      <c r="D30" s="149">
        <f>IF(Inputs!D37="","",Inputs!D37)</f>
        <v>1709844</v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17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18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19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128</v>
      </c>
      <c r="C34" s="153">
        <f>Inputs!C41</f>
        <v>166367</v>
      </c>
      <c r="D34" s="149">
        <f>IF(Inputs!D41="","",Inputs!D41)</f>
        <v>168184</v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129</v>
      </c>
      <c r="C35" s="153">
        <f>Inputs!C42</f>
        <v>47</v>
      </c>
      <c r="D35" s="149">
        <f>IF(Inputs!D42="","",Inputs!D42)</f>
        <v>53</v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127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131</v>
      </c>
      <c r="C37" s="153">
        <f>Fin_Analysis!C68</f>
        <v>1708453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143</v>
      </c>
      <c r="C38" s="154">
        <f>IF(C6="","",C14/MAX(C37,0))</f>
        <v>3.0310462154943683E-2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90</v>
      </c>
      <c r="C40" s="156">
        <f t="shared" ref="C40:M40" si="34">IF(C6="","",C8/C6)</f>
        <v>4.1966617135767562E-2</v>
      </c>
      <c r="D40" s="156">
        <f t="shared" si="34"/>
        <v>5.1879493947392372E-2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208</v>
      </c>
      <c r="C41" s="151">
        <f t="shared" ref="C41:M41" si="35">IF(C6="","",(C10+MAX(C11,0))/C6)</f>
        <v>0.2109727772407923</v>
      </c>
      <c r="D41" s="151">
        <f t="shared" si="35"/>
        <v>0.31389369254573585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101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113</v>
      </c>
      <c r="C43" s="151">
        <f t="shared" ref="C43:M43" si="37">IF(C6="","",MAX(C17,0)/C6)</f>
        <v>0.39159225009737869</v>
      </c>
      <c r="D43" s="151">
        <f t="shared" si="37"/>
        <v>0.21004368799490306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120</v>
      </c>
      <c r="C44" s="151">
        <f t="shared" ref="C44:M44" si="38">IF(C6="","",MAX(C12,0)/C6)</f>
        <v>0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210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115</v>
      </c>
      <c r="C46" s="289">
        <f t="shared" ref="C46:M46" si="40">IF(C6="","",C22/C6)</f>
        <v>0.35546835552606143</v>
      </c>
      <c r="D46" s="289">
        <f t="shared" si="40"/>
        <v>0.42418312551196868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>
        <f t="shared" ref="C48:M48" si="41">IF(C6="","",C6/C27)</f>
        <v>4.0572962791484458E-2</v>
      </c>
      <c r="D48" s="159">
        <f t="shared" si="41"/>
        <v>2.3401142049000335E-2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>
        <f t="shared" ref="C53:M53" si="45">IF(C34="","",(C34-C35)/C27)</f>
        <v>9.7351229445586149E-2</v>
      </c>
      <c r="D53" s="156">
        <f t="shared" si="45"/>
        <v>8.9525289292811394E-2</v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112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114</v>
      </c>
      <c r="C55" s="151">
        <f t="shared" ref="C55:M55" si="47">IF(C22="","",IF(MAX(C17,0)&lt;=0,"-",C17/C22))</f>
        <v>1.1016233766233767</v>
      </c>
      <c r="D55" s="151">
        <f t="shared" si="47"/>
        <v>0.49517219182491151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0.30837488652014422</v>
      </c>
      <c r="D56" s="151">
        <f>IF(D34="","",IF(Inputs!D38=0,0,Inputs!D38/D27))</f>
        <v>0.28970121851218406</v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>
        <f t="shared" ref="C58:M58" si="49">IF(C14="","",C14/(C34-C35))</f>
        <v>0.31135161135161138</v>
      </c>
      <c r="D58" s="162">
        <f t="shared" si="49"/>
        <v>0.16578144423098656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>
        <f t="shared" ref="C59:M59" si="50">IF(C22="","",C22/(C34-C35))</f>
        <v>0.14814814814814814</v>
      </c>
      <c r="D59" s="162">
        <f t="shared" si="50"/>
        <v>0.11087782740838989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8</v>
      </c>
    </row>
    <row r="3" spans="1:11" ht="15" customHeight="1" x14ac:dyDescent="0.35">
      <c r="B3" s="9" t="s">
        <v>20</v>
      </c>
      <c r="C3" s="3"/>
      <c r="D3" s="167">
        <f>Inputs!C41</f>
        <v>166367</v>
      </c>
      <c r="E3" s="168" t="str">
        <f>IF((C49-I49)=D3,"", "Error!")</f>
        <v/>
      </c>
      <c r="F3" s="3"/>
      <c r="G3" s="3"/>
      <c r="H3" s="169" t="s">
        <v>21</v>
      </c>
      <c r="I3" s="170">
        <f>D3-D4</f>
        <v>166320</v>
      </c>
      <c r="K3" s="75"/>
    </row>
    <row r="4" spans="1:11" ht="15" customHeight="1" x14ac:dyDescent="0.35">
      <c r="B4" s="9" t="s">
        <v>22</v>
      </c>
      <c r="C4" s="3"/>
      <c r="D4" s="149">
        <f>Inputs!C42</f>
        <v>47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23</v>
      </c>
      <c r="H5" s="2" t="s">
        <v>24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75">
        <f>(E49-I49-E53)</f>
        <v>-1542136.6763031159</v>
      </c>
      <c r="E6" s="176">
        <f>1-D6/D3</f>
        <v>10.269486594715994</v>
      </c>
      <c r="F6" s="3"/>
      <c r="G6" s="3"/>
      <c r="H6" s="2" t="s">
        <v>25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26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27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28</v>
      </c>
      <c r="D10" s="85" t="s">
        <v>172</v>
      </c>
      <c r="E10" s="85" t="s">
        <v>29</v>
      </c>
      <c r="F10" s="90" t="s">
        <v>30</v>
      </c>
      <c r="G10" s="3"/>
      <c r="H10" s="88" t="s">
        <v>276</v>
      </c>
      <c r="I10" s="85" t="s">
        <v>28</v>
      </c>
      <c r="K10" s="75"/>
    </row>
    <row r="11" spans="1:11" ht="15" customHeight="1" x14ac:dyDescent="0.35">
      <c r="B11" s="9" t="s">
        <v>31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32</v>
      </c>
      <c r="I11" s="181">
        <f>Inputs!C73</f>
        <v>0</v>
      </c>
      <c r="J11" s="3"/>
      <c r="K11" s="75"/>
    </row>
    <row r="12" spans="1:11" ht="11.65" x14ac:dyDescent="0.35">
      <c r="B12" s="2" t="s">
        <v>126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33</v>
      </c>
      <c r="I12" s="181">
        <f>Inputs!C74</f>
        <v>0</v>
      </c>
      <c r="J12" s="3"/>
      <c r="K12" s="75"/>
    </row>
    <row r="13" spans="1:11" ht="11.65" x14ac:dyDescent="0.35">
      <c r="B13" s="9" t="s">
        <v>108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34</v>
      </c>
      <c r="I13" s="181">
        <f>Inputs!C75</f>
        <v>0</v>
      </c>
      <c r="J13" s="3"/>
      <c r="K13" s="183"/>
    </row>
    <row r="14" spans="1:11" ht="11.65" x14ac:dyDescent="0.35">
      <c r="B14" s="9" t="s">
        <v>35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36</v>
      </c>
      <c r="I14" s="184">
        <f>Inputs!C76</f>
        <v>0</v>
      </c>
      <c r="J14" s="3"/>
      <c r="K14" s="185"/>
    </row>
    <row r="15" spans="1:11" ht="11.65" x14ac:dyDescent="0.35">
      <c r="B15" s="9" t="s">
        <v>37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47</v>
      </c>
      <c r="I15" s="186">
        <f>SUM(I11:I14)</f>
        <v>0</v>
      </c>
      <c r="J15" s="3"/>
    </row>
    <row r="16" spans="1:11" ht="11.65" x14ac:dyDescent="0.35">
      <c r="B16" s="2" t="s">
        <v>144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109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40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41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111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43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44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38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45</v>
      </c>
      <c r="G23" s="3"/>
    </row>
    <row r="24" spans="2:10" ht="15" customHeight="1" x14ac:dyDescent="0.35">
      <c r="B24" s="189" t="s">
        <v>46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48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49</v>
      </c>
      <c r="I25" s="174" t="e">
        <f>E28/I28</f>
        <v>#DIV/0!</v>
      </c>
    </row>
    <row r="26" spans="2:10" ht="15" customHeight="1" x14ac:dyDescent="0.35">
      <c r="B26" s="189" t="s">
        <v>50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51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52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53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15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16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55</v>
      </c>
      <c r="I30" s="181">
        <f>Inputs!C78</f>
        <v>0</v>
      </c>
      <c r="J30" s="3"/>
    </row>
    <row r="31" spans="2:10" ht="15" customHeight="1" x14ac:dyDescent="0.35">
      <c r="B31" s="9" t="s">
        <v>56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57</v>
      </c>
      <c r="I31" s="181">
        <f>Inputs!C79</f>
        <v>0</v>
      </c>
      <c r="J31" s="3"/>
    </row>
    <row r="32" spans="2:10" ht="15" customHeight="1" x14ac:dyDescent="0.35">
      <c r="B32" s="9" t="s">
        <v>58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59</v>
      </c>
      <c r="I32" s="181">
        <f>Inputs!C80</f>
        <v>0</v>
      </c>
      <c r="J32" s="3"/>
    </row>
    <row r="33" spans="2:10" ht="11.65" x14ac:dyDescent="0.35">
      <c r="B33" s="2" t="s">
        <v>145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60</v>
      </c>
      <c r="I33" s="184">
        <f>Inputs!C81</f>
        <v>0</v>
      </c>
      <c r="J33" s="3"/>
    </row>
    <row r="34" spans="2:10" ht="11.65" x14ac:dyDescent="0.35">
      <c r="B34" s="9" t="s">
        <v>61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71</v>
      </c>
      <c r="I34" s="186">
        <f>SUM(I30:I33)</f>
        <v>0</v>
      </c>
      <c r="J34" s="3"/>
    </row>
    <row r="35" spans="2:10" ht="11.65" x14ac:dyDescent="0.35">
      <c r="B35" s="9" t="s">
        <v>63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65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42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110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66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67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68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69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62</v>
      </c>
      <c r="I42" s="188">
        <f>I48-SUM(I30:I33)</f>
        <v>1542086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70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72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73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74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75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76</v>
      </c>
      <c r="I47" s="174">
        <f>(E44+E45+E24+E25)/$I$49</f>
        <v>0</v>
      </c>
      <c r="J47" s="193" t="str">
        <f>IF(OR(I47&lt;0.5,C49&lt;I49),"Liquidity Issue!","")</f>
        <v>Liquidity Issue!</v>
      </c>
    </row>
    <row r="48" spans="2:10" ht="15" customHeight="1" thickBot="1" x14ac:dyDescent="0.4">
      <c r="B48" s="96" t="s">
        <v>77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78</v>
      </c>
      <c r="I48" s="203">
        <f>I49-I28</f>
        <v>1542086</v>
      </c>
      <c r="J48" s="193"/>
    </row>
    <row r="49" spans="2:11" ht="15" customHeight="1" thickTop="1" x14ac:dyDescent="0.35">
      <c r="B49" s="9" t="s">
        <v>14</v>
      </c>
      <c r="C49" s="190">
        <f>Inputs!C41+Inputs!C37</f>
        <v>1708453</v>
      </c>
      <c r="D49" s="176">
        <f>E49/C49</f>
        <v>0</v>
      </c>
      <c r="E49" s="182">
        <f>E28+E48</f>
        <v>0</v>
      </c>
      <c r="F49" s="3"/>
      <c r="G49" s="3"/>
      <c r="H49" s="9" t="s">
        <v>79</v>
      </c>
      <c r="I49" s="181">
        <f>Inputs!C37</f>
        <v>1542086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80</v>
      </c>
      <c r="C52" s="3"/>
      <c r="D52" s="85" t="str">
        <f>IF(E53=D4,"BV of the MI","P/B Approach")</f>
        <v>P/B Approach</v>
      </c>
      <c r="E52" s="3"/>
      <c r="F52" s="3"/>
      <c r="G52" s="3"/>
      <c r="I52" s="3"/>
      <c r="K52" s="166" t="s">
        <v>8</v>
      </c>
    </row>
    <row r="53" spans="2:11" ht="11.65" x14ac:dyDescent="0.35">
      <c r="B53" s="9" t="s">
        <v>81</v>
      </c>
      <c r="C53" s="182">
        <f>MAX(D4,0)</f>
        <v>47</v>
      </c>
      <c r="D53" s="34">
        <f>IF(E53=0, 0,E53/C53)</f>
        <v>1.0782192152337904</v>
      </c>
      <c r="E53" s="182">
        <f>IF(C53=0,0,MAX(C53,C53*Dashboard!G23))</f>
        <v>50.676303115988148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138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82</v>
      </c>
      <c r="C56" s="3"/>
      <c r="D56" s="322">
        <f>I15+I34</f>
        <v>0</v>
      </c>
      <c r="E56" s="316"/>
      <c r="F56" s="9"/>
      <c r="G56" s="9"/>
      <c r="I56" s="176"/>
      <c r="K56" s="178"/>
    </row>
    <row r="57" spans="2:11" ht="11.65" x14ac:dyDescent="0.35">
      <c r="B57" s="56" t="s">
        <v>83</v>
      </c>
      <c r="C57" s="3"/>
      <c r="D57" s="317">
        <f>Inputs!C84</f>
        <v>0</v>
      </c>
      <c r="E57" s="316"/>
      <c r="G57" s="3"/>
      <c r="I57" s="3"/>
      <c r="K57" s="178" t="s">
        <v>84</v>
      </c>
    </row>
    <row r="58" spans="2:11" ht="12.75" customHeight="1" x14ac:dyDescent="0.35">
      <c r="B58" s="56" t="s">
        <v>85</v>
      </c>
      <c r="C58" s="3"/>
      <c r="D58" s="317">
        <f>Inputs!C85</f>
        <v>0</v>
      </c>
      <c r="E58" s="316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141</v>
      </c>
      <c r="C60" s="9"/>
      <c r="D60" s="206" t="s">
        <v>86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87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-819.27035902509454</v>
      </c>
      <c r="K61" s="178"/>
    </row>
    <row r="62" spans="2:11" ht="11.65" x14ac:dyDescent="0.35">
      <c r="B62" s="12" t="s">
        <v>130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277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132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-819.27035902509454</v>
      </c>
      <c r="K63" s="178"/>
    </row>
    <row r="64" spans="2:11" ht="12" thickBot="1" x14ac:dyDescent="0.4">
      <c r="B64" s="214" t="s">
        <v>139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-819.27035902509454</v>
      </c>
      <c r="K64" s="178"/>
    </row>
    <row r="65" spans="1:11" ht="12" thickTop="1" x14ac:dyDescent="0.35">
      <c r="B65" s="9" t="s">
        <v>133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142</v>
      </c>
      <c r="C67" s="9"/>
      <c r="D67" s="206" t="s">
        <v>86</v>
      </c>
      <c r="E67" s="190"/>
      <c r="F67" s="3"/>
      <c r="G67" s="3"/>
      <c r="I67" s="3"/>
      <c r="K67" s="178"/>
    </row>
    <row r="68" spans="1:11" ht="11.65" x14ac:dyDescent="0.35">
      <c r="B68" s="57" t="s">
        <v>131</v>
      </c>
      <c r="C68" s="208">
        <f>C49-C63</f>
        <v>1708453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140</v>
      </c>
      <c r="C69" s="215"/>
      <c r="D69" s="215"/>
      <c r="E69" s="216">
        <f>I49-E64</f>
        <v>1542086</v>
      </c>
      <c r="F69" s="3"/>
      <c r="G69" s="3"/>
      <c r="I69" s="3"/>
      <c r="K69" s="178"/>
    </row>
    <row r="70" spans="1:11" ht="12" thickTop="1" x14ac:dyDescent="0.35">
      <c r="B70" s="57" t="s">
        <v>134</v>
      </c>
      <c r="C70" s="208">
        <f>C68-E69</f>
        <v>166367</v>
      </c>
      <c r="D70" s="34">
        <f t="shared" si="2"/>
        <v>-9.2691819892166123</v>
      </c>
      <c r="E70" s="208">
        <f>E68-E69</f>
        <v>-1542086</v>
      </c>
      <c r="F70" s="3"/>
      <c r="G70" s="3"/>
      <c r="I70" s="3"/>
      <c r="K70" s="178"/>
    </row>
    <row r="72" spans="1:11" ht="15" customHeight="1" x14ac:dyDescent="0.35">
      <c r="A72" s="4"/>
      <c r="B72" s="99" t="s">
        <v>118</v>
      </c>
      <c r="C72" s="309">
        <f>Data!C5</f>
        <v>45291</v>
      </c>
      <c r="D72" s="309"/>
      <c r="E72" s="323" t="s">
        <v>182</v>
      </c>
      <c r="F72" s="323"/>
      <c r="H72" s="323" t="s">
        <v>181</v>
      </c>
      <c r="I72" s="323"/>
      <c r="K72" s="166" t="s">
        <v>8</v>
      </c>
    </row>
    <row r="73" spans="1:11" ht="15" customHeight="1" x14ac:dyDescent="0.35">
      <c r="B73" s="101" t="str">
        <f>"(Numbers in "&amp;Data!C4&amp;Dashboard!G6&amp;")"</f>
        <v>(Numbers in 1000000HKD)</v>
      </c>
      <c r="C73" s="310" t="s">
        <v>93</v>
      </c>
      <c r="D73" s="310"/>
      <c r="E73" s="324" t="s">
        <v>94</v>
      </c>
      <c r="F73" s="310"/>
      <c r="H73" s="324" t="s">
        <v>94</v>
      </c>
      <c r="I73" s="310"/>
      <c r="K73" s="75"/>
    </row>
    <row r="74" spans="1:11" ht="15" customHeight="1" x14ac:dyDescent="0.35">
      <c r="B74" s="9" t="s">
        <v>117</v>
      </c>
      <c r="C74" s="102">
        <f>Data!C6</f>
        <v>69317</v>
      </c>
      <c r="D74" s="103"/>
      <c r="E74" s="262">
        <f>Inputs!E91</f>
        <v>69317</v>
      </c>
      <c r="F74" s="103"/>
      <c r="H74" s="262">
        <f>Inputs!F91</f>
        <v>69317</v>
      </c>
      <c r="I74" s="103"/>
      <c r="K74" s="75"/>
    </row>
    <row r="75" spans="1:11" ht="15" customHeight="1" x14ac:dyDescent="0.35">
      <c r="B75" s="105" t="s">
        <v>98</v>
      </c>
      <c r="C75" s="102">
        <f>Data!C8</f>
        <v>2909</v>
      </c>
      <c r="D75" s="106">
        <f>C75/$C$74</f>
        <v>4.1966617135767562E-2</v>
      </c>
      <c r="E75" s="262">
        <f>Inputs!E92</f>
        <v>2909</v>
      </c>
      <c r="F75" s="217">
        <f>E75/E74</f>
        <v>4.1966617135767562E-2</v>
      </c>
      <c r="H75" s="262">
        <f>Inputs!F92</f>
        <v>2909</v>
      </c>
      <c r="I75" s="217">
        <f>H75/$H$74</f>
        <v>4.1966617135767562E-2</v>
      </c>
      <c r="K75" s="75"/>
    </row>
    <row r="76" spans="1:11" ht="15" customHeight="1" x14ac:dyDescent="0.35">
      <c r="B76" s="12" t="s">
        <v>88</v>
      </c>
      <c r="C76" s="150">
        <f>C74-C75</f>
        <v>66408</v>
      </c>
      <c r="D76" s="218"/>
      <c r="E76" s="219">
        <f>E74-E75</f>
        <v>66408</v>
      </c>
      <c r="F76" s="218"/>
      <c r="H76" s="219">
        <f>H74-H75</f>
        <v>66408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14624</v>
      </c>
      <c r="D77" s="106">
        <f>C77/$C$74</f>
        <v>0.2109727772407923</v>
      </c>
      <c r="E77" s="262">
        <f>Inputs!E93</f>
        <v>14624</v>
      </c>
      <c r="F77" s="217">
        <f>E77/E74</f>
        <v>0.2109727772407923</v>
      </c>
      <c r="H77" s="262">
        <f>Inputs!F93</f>
        <v>14624</v>
      </c>
      <c r="I77" s="217">
        <f>H77/$H$74</f>
        <v>0.2109727772407923</v>
      </c>
      <c r="K77" s="75"/>
    </row>
    <row r="78" spans="1:11" ht="15" customHeight="1" x14ac:dyDescent="0.35">
      <c r="B78" s="98" t="s">
        <v>153</v>
      </c>
      <c r="C78" s="102">
        <f>MAX(Data!C12,0)</f>
        <v>0</v>
      </c>
      <c r="D78" s="106">
        <f>C78/$C$74</f>
        <v>0</v>
      </c>
      <c r="E78" s="220">
        <f>E74*F78</f>
        <v>0</v>
      </c>
      <c r="F78" s="217">
        <f>I78</f>
        <v>0</v>
      </c>
      <c r="H78" s="262">
        <f>Inputs!F97</f>
        <v>0</v>
      </c>
      <c r="I78" s="217">
        <f>H78/$H$74</f>
        <v>0</v>
      </c>
      <c r="K78" s="75"/>
    </row>
    <row r="79" spans="1:11" ht="15" customHeight="1" x14ac:dyDescent="0.35">
      <c r="B79" s="221" t="s">
        <v>206</v>
      </c>
      <c r="C79" s="222">
        <f>C76-C77-C78</f>
        <v>51784</v>
      </c>
      <c r="D79" s="223">
        <f>C79/C74</f>
        <v>0.74706060562344012</v>
      </c>
      <c r="E79" s="224">
        <f>E76-E77-E78</f>
        <v>51784</v>
      </c>
      <c r="F79" s="223">
        <f>E79/E74</f>
        <v>0.74706060562344012</v>
      </c>
      <c r="G79" s="225"/>
      <c r="H79" s="224">
        <f>H76-H77-H78</f>
        <v>51784</v>
      </c>
      <c r="I79" s="223">
        <f>H79/H74</f>
        <v>0.74706060562344012</v>
      </c>
      <c r="K79" s="75"/>
    </row>
    <row r="80" spans="1:11" ht="15" customHeight="1" x14ac:dyDescent="0.35">
      <c r="B80" s="18" t="s">
        <v>102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122</v>
      </c>
    </row>
    <row r="81" spans="1:11" ht="15" customHeight="1" x14ac:dyDescent="0.35">
      <c r="B81" s="105" t="s">
        <v>224</v>
      </c>
      <c r="C81" s="102">
        <f>MAX(Data!C17,0)</f>
        <v>27144</v>
      </c>
      <c r="D81" s="106">
        <f>C81/$C$74</f>
        <v>0.39159225009737869</v>
      </c>
      <c r="E81" s="220">
        <f>E74*F81</f>
        <v>27144</v>
      </c>
      <c r="F81" s="217">
        <f>I81</f>
        <v>0.39159225009737869</v>
      </c>
      <c r="H81" s="262">
        <f>Inputs!F94</f>
        <v>27144</v>
      </c>
      <c r="I81" s="217">
        <f>H81/$H$74</f>
        <v>0.39159225009737869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116</v>
      </c>
      <c r="C83" s="228">
        <f>C79-C81-C82-C80</f>
        <v>24640</v>
      </c>
      <c r="D83" s="229">
        <f>C83/$C$74</f>
        <v>0.35546835552606143</v>
      </c>
      <c r="E83" s="230">
        <f>E79-E81-E82-E80</f>
        <v>24640</v>
      </c>
      <c r="F83" s="229">
        <f>E83/E74</f>
        <v>0.35546835552606143</v>
      </c>
      <c r="H83" s="230">
        <f>H79-H81-H82-H80</f>
        <v>24640</v>
      </c>
      <c r="I83" s="229">
        <f>H83/$H$74</f>
        <v>0.35546835552606143</v>
      </c>
      <c r="K83" s="75"/>
    </row>
    <row r="84" spans="1:11" ht="15" customHeight="1" thickTop="1" x14ac:dyDescent="0.35">
      <c r="B84" s="18" t="s">
        <v>89</v>
      </c>
      <c r="C84" s="231"/>
      <c r="D84" s="106">
        <f>I84</f>
        <v>0.23499999999999999</v>
      </c>
      <c r="E84" s="232"/>
      <c r="F84" s="233">
        <f t="shared" ref="F84" si="3">I84</f>
        <v>0.23499999999999999</v>
      </c>
      <c r="H84" s="232"/>
      <c r="I84" s="263">
        <f>Inputs!C16</f>
        <v>0.23499999999999999</v>
      </c>
      <c r="K84" s="75"/>
    </row>
    <row r="85" spans="1:11" ht="15" customHeight="1" x14ac:dyDescent="0.35">
      <c r="B85" s="234" t="s">
        <v>149</v>
      </c>
      <c r="C85" s="222">
        <f>C83*(1-I84)</f>
        <v>18849.599999999999</v>
      </c>
      <c r="D85" s="223">
        <f>C85/$C$74</f>
        <v>0.27193329197743699</v>
      </c>
      <c r="E85" s="235">
        <f>E83*(1-F84)</f>
        <v>18849.599999999999</v>
      </c>
      <c r="F85" s="223">
        <f>E85/E74</f>
        <v>0.27193329197743699</v>
      </c>
      <c r="G85" s="225"/>
      <c r="H85" s="235">
        <f>H83*(1-I84)</f>
        <v>18849.599999999999</v>
      </c>
      <c r="I85" s="223">
        <f>H85/$H$74</f>
        <v>0.27193329197743699</v>
      </c>
      <c r="K85" s="75"/>
    </row>
    <row r="86" spans="1:11" ht="15" customHeight="1" x14ac:dyDescent="0.35">
      <c r="B86" s="3" t="s">
        <v>146</v>
      </c>
      <c r="C86" s="236">
        <f>C85*Data!C4/Common_Shares</f>
        <v>10.014304364010451</v>
      </c>
      <c r="D86" s="103"/>
      <c r="E86" s="237">
        <f>E85*Data!C4/Common_Shares</f>
        <v>10.014304364010451</v>
      </c>
      <c r="F86" s="103"/>
      <c r="H86" s="237">
        <f>H85*Data!C4/Common_Shares</f>
        <v>10.014304364010451</v>
      </c>
      <c r="I86" s="103"/>
      <c r="K86" s="75"/>
    </row>
    <row r="87" spans="1:11" ht="15" customHeight="1" x14ac:dyDescent="0.35">
      <c r="B87" s="3" t="s">
        <v>184</v>
      </c>
      <c r="C87" s="238">
        <f>C86*Exchange_Rate/Dashboard!G3</f>
        <v>0.10508189259192499</v>
      </c>
      <c r="D87" s="103"/>
      <c r="E87" s="239">
        <f>E86*Exchange_Rate/Dashboard!G3</f>
        <v>0.10508189259192499</v>
      </c>
      <c r="F87" s="103"/>
      <c r="H87" s="239">
        <f>H86*Exchange_Rate/Dashboard!G3</f>
        <v>0.10508189259192499</v>
      </c>
      <c r="I87" s="103"/>
      <c r="K87" s="75"/>
    </row>
    <row r="88" spans="1:11" ht="15" customHeight="1" x14ac:dyDescent="0.35">
      <c r="B88" s="8" t="s">
        <v>183</v>
      </c>
      <c r="C88" s="240">
        <f>Inputs!C44</f>
        <v>6.8</v>
      </c>
      <c r="D88" s="241">
        <f>C88/C86</f>
        <v>0.67902869264069265</v>
      </c>
      <c r="E88" s="261">
        <f>Inputs!E98</f>
        <v>6.8</v>
      </c>
      <c r="F88" s="241">
        <f>E88/E86</f>
        <v>0.67902869264069265</v>
      </c>
      <c r="H88" s="261">
        <f>Inputs!F98</f>
        <v>6.8</v>
      </c>
      <c r="I88" s="241">
        <f>H88/H86</f>
        <v>0.67902869264069265</v>
      </c>
      <c r="K88" s="75"/>
    </row>
    <row r="89" spans="1:11" ht="15" customHeight="1" x14ac:dyDescent="0.35">
      <c r="B89" s="3" t="s">
        <v>196</v>
      </c>
      <c r="C89" s="238">
        <f>C88*Exchange_Rate/Dashboard!G3</f>
        <v>7.1353620146904509E-2</v>
      </c>
      <c r="D89" s="103"/>
      <c r="E89" s="238">
        <f>E88*Exchange_Rate/Dashboard!G3</f>
        <v>7.1353620146904509E-2</v>
      </c>
      <c r="F89" s="103"/>
      <c r="H89" s="238">
        <f>H88*Exchange_Rate/Dashboard!G3</f>
        <v>7.1353620146904509E-2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123</v>
      </c>
    </row>
    <row r="92" spans="1:11" ht="15" customHeight="1" x14ac:dyDescent="0.35">
      <c r="B92" s="88" t="s">
        <v>272</v>
      </c>
      <c r="C92" s="264" t="str">
        <f>Inputs!C15</f>
        <v>HK</v>
      </c>
      <c r="D92" s="88" t="s">
        <v>273</v>
      </c>
      <c r="E92" s="323" t="s">
        <v>182</v>
      </c>
      <c r="F92" s="323"/>
      <c r="G92" s="3"/>
      <c r="H92" s="323" t="s">
        <v>181</v>
      </c>
      <c r="I92" s="323"/>
      <c r="K92" s="75"/>
    </row>
    <row r="93" spans="1:11" ht="15" customHeight="1" x14ac:dyDescent="0.35">
      <c r="B93" s="2" t="str">
        <f>C92&amp;" Discount Rate"</f>
        <v>HK Discount Rate</v>
      </c>
      <c r="C93" s="242">
        <f>IF(C92="CN",Dashboard!C17,IF(C92="US",Dashboard!C12,IF(C92="HK",Dashboard!D12,Dashboard!D17)))</f>
        <v>7.5250000000000011E-2</v>
      </c>
      <c r="D93" s="259">
        <f>Dashboard!H20</f>
        <v>4</v>
      </c>
      <c r="E93" s="3" t="s">
        <v>185</v>
      </c>
      <c r="F93" s="243">
        <f>FV(E87,D93,0,-(E86/(C93-D94)))*Exchange_Rate</f>
        <v>270.31264094633156</v>
      </c>
      <c r="H93" s="3" t="s">
        <v>185</v>
      </c>
      <c r="I93" s="243">
        <f>FV(H87,D93,0,-(H86/(C93-D94)))*Exchange_Rate</f>
        <v>270.31264094633156</v>
      </c>
      <c r="K93" s="75"/>
    </row>
    <row r="94" spans="1:11" ht="15" customHeight="1" x14ac:dyDescent="0.35">
      <c r="B94" s="2" t="s">
        <v>187</v>
      </c>
      <c r="C94" s="244">
        <f>Dashboard!G20</f>
        <v>0.15</v>
      </c>
      <c r="D94" s="260">
        <f>Inputs!D87</f>
        <v>0.02</v>
      </c>
      <c r="E94" s="3" t="s">
        <v>186</v>
      </c>
      <c r="F94" s="243">
        <f>FV(E89,D93,0,-(E88/(C93-D94)))*Exchange_Rate</f>
        <v>162.14665586178069</v>
      </c>
      <c r="H94" s="3" t="s">
        <v>186</v>
      </c>
      <c r="I94" s="243">
        <f>FV(H89,D93,0,-(H88/(C93-D94)))*Exchange_Rate</f>
        <v>162.14665586178069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189</v>
      </c>
      <c r="E96" s="247" t="str">
        <f>E72</f>
        <v>Pessimistic Case</v>
      </c>
      <c r="F96" s="248" t="s">
        <v>211</v>
      </c>
      <c r="H96" s="247" t="str">
        <f>H72</f>
        <v>Base Case</v>
      </c>
      <c r="I96" s="246" t="s">
        <v>107</v>
      </c>
      <c r="K96" s="75"/>
    </row>
    <row r="97" spans="2:11" ht="15" customHeight="1" x14ac:dyDescent="0.35">
      <c r="B97" s="2" t="s">
        <v>121</v>
      </c>
      <c r="C97" s="249">
        <f>H97*Common_Shares/Data!C4</f>
        <v>290908.4565156381</v>
      </c>
      <c r="D97" s="250"/>
      <c r="E97" s="251">
        <f>PV(C94,D93,0,-F93)</f>
        <v>154.55212978588935</v>
      </c>
      <c r="F97" s="250"/>
      <c r="H97" s="251">
        <f>PV(C94,D93,0,-I93)</f>
        <v>154.55212978588935</v>
      </c>
      <c r="I97" s="251">
        <f>PV(C93,D93,0,-I93)</f>
        <v>202.22206956160221</v>
      </c>
      <c r="K97" s="75"/>
    </row>
    <row r="98" spans="2:11" ht="15" customHeight="1" x14ac:dyDescent="0.35">
      <c r="B98" s="18" t="s">
        <v>135</v>
      </c>
      <c r="C98" s="249">
        <f>-E53*Exchange_Rate</f>
        <v>-50.676303115988148</v>
      </c>
      <c r="D98" s="250"/>
      <c r="E98" s="250"/>
      <c r="F98" s="250"/>
      <c r="H98" s="251">
        <f>C98*Data!$C$4/Common_Shares</f>
        <v>-2.6923007567606558E-2</v>
      </c>
      <c r="I98" s="252"/>
      <c r="K98" s="75"/>
    </row>
    <row r="99" spans="2:11" ht="15" customHeight="1" thickBot="1" x14ac:dyDescent="0.4">
      <c r="B99" s="227" t="s">
        <v>136</v>
      </c>
      <c r="C99" s="253">
        <f>(E65+IF(E70&lt;0,E70,0))*Exchange_Rate</f>
        <v>-1542086</v>
      </c>
      <c r="D99" s="254"/>
      <c r="E99" s="255">
        <f>IF(H99&gt;0,I64,H99)</f>
        <v>-819.27035902509454</v>
      </c>
      <c r="F99" s="254"/>
      <c r="H99" s="255">
        <f>I64</f>
        <v>-819.27035902509454</v>
      </c>
      <c r="I99" s="256"/>
      <c r="K99" s="75"/>
    </row>
    <row r="100" spans="2:11" ht="15" customHeight="1" thickTop="1" x14ac:dyDescent="0.35">
      <c r="B100" s="2" t="s">
        <v>107</v>
      </c>
      <c r="C100" s="249"/>
      <c r="D100" s="257">
        <f>MIN(F100*(1-C94),E100)</f>
        <v>0</v>
      </c>
      <c r="E100" s="257">
        <f>MAX(E97+H98+E99,0)</f>
        <v>0</v>
      </c>
      <c r="F100" s="257">
        <f>(E100+H100)/2</f>
        <v>0</v>
      </c>
      <c r="H100" s="257">
        <f>MAX(H97+H98+H99,0)</f>
        <v>0</v>
      </c>
      <c r="I100" s="257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189</v>
      </c>
      <c r="E102" s="247" t="str">
        <f>E96</f>
        <v>Pessimistic Case</v>
      </c>
      <c r="F102" s="248" t="s">
        <v>211</v>
      </c>
      <c r="H102" s="247" t="str">
        <f>H96</f>
        <v>Base Case</v>
      </c>
      <c r="I102" s="246" t="s">
        <v>107</v>
      </c>
      <c r="K102" s="75"/>
    </row>
    <row r="103" spans="2:11" ht="15" customHeight="1" x14ac:dyDescent="0.35">
      <c r="B103" s="2" t="s">
        <v>147</v>
      </c>
      <c r="C103" s="249"/>
      <c r="D103" s="257">
        <f>MIN(F103*(1-C94),E103)</f>
        <v>78.801695238375288</v>
      </c>
      <c r="E103" s="251">
        <f>PV(C94,D93,0,-F94)</f>
        <v>92.707876751029758</v>
      </c>
      <c r="F103" s="257">
        <f>(E103+H103)/2</f>
        <v>92.707876751029758</v>
      </c>
      <c r="H103" s="251">
        <f>PV(C94,D93,0,-I94)</f>
        <v>92.707876751029758</v>
      </c>
      <c r="I103" s="257">
        <f>PV(C93,D93,0,-I94)</f>
        <v>121.30262279288786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173</v>
      </c>
      <c r="C105" s="245"/>
      <c r="D105" s="246" t="s">
        <v>189</v>
      </c>
      <c r="E105" s="258" t="str">
        <f>E96</f>
        <v>Pessimistic Case</v>
      </c>
      <c r="F105" s="248" t="s">
        <v>211</v>
      </c>
      <c r="H105" s="258" t="str">
        <f>H96</f>
        <v>Base Case</v>
      </c>
      <c r="I105" s="246" t="s">
        <v>107</v>
      </c>
      <c r="K105" s="75"/>
    </row>
    <row r="106" spans="2:11" ht="15" customHeight="1" x14ac:dyDescent="0.35">
      <c r="B106" s="2" t="s">
        <v>174</v>
      </c>
      <c r="C106" s="249"/>
      <c r="D106" s="257">
        <f>(D100+D103)/2</f>
        <v>39.400847619187644</v>
      </c>
      <c r="E106" s="251">
        <f>(E100+E103)/2</f>
        <v>46.353938375514879</v>
      </c>
      <c r="F106" s="257">
        <f>(F100+F103)/2</f>
        <v>46.353938375514879</v>
      </c>
      <c r="H106" s="251">
        <f>(H100+H103)/2</f>
        <v>46.353938375514879</v>
      </c>
      <c r="I106" s="251">
        <f>(I100+I103)/2</f>
        <v>60.65131139644393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2024-12-27T08:35:18Z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