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AC161B6-7F11-47A4-A2EE-9744D6E943B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C65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G2" i="1"/>
  <c r="F96" i="4" l="1"/>
  <c r="E92" i="4"/>
  <c r="F97" i="4"/>
  <c r="D53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<sst xmlns="http://schemas.openxmlformats.org/spreadsheetml/2006/main" count="403" uniqueCount="286">
  <si>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</si>
  <si>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</si>
  <si>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</si>
  <si>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</si>
  <si>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</si>
  <si>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</si>
  <si>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</si>
  <si>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</si>
  <si>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</si>
  <si>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</si>
  <si>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</si>
  <si>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</si>
  <si>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</si>
  <si>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</si>
  <si>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</si>
  <si>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</si>
  <si>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</si>
  <si>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</si>
  <si>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</si>
  <si>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</si>
  <si>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</si>
  <si>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</si>
  <si>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</si>
  <si>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</si>
  <si>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</si>
  <si>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</si>
  <si>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</si>
  <si>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</si>
  <si>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</si>
  <si>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</si>
  <si>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</si>
  <si>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</si>
  <si>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</si>
  <si>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</si>
  <si>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</si>
  <si>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</si>
  <si>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</si>
  <si>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</si>
  <si>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</si>
  <si>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</si>
  <si>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</si>
  <si>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</si>
  <si>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</si>
  <si>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</si>
  <si>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</si>
  <si>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</si>
  <si>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</si>
  <si>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</si>
  <si>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</si>
  <si>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</si>
  <si>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</si>
  <si>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</si>
  <si>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</si>
  <si>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</si>
  <si>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</si>
  <si>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</si>
  <si>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</si>
  <si>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</si>
  <si>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</si>
  <si>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</si>
  <si>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</si>
  <si>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</si>
  <si>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</si>
  <si>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</si>
  <si>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</si>
  <si>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</si>
  <si>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</si>
  <si>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</si>
  <si>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</si>
  <si>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</si>
  <si>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</si>
  <si>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</si>
  <si>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</si>
  <si>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</si>
  <si>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</si>
  <si>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</si>
  <si>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</si>
  <si>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</si>
  <si>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</si>
  <si>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</si>
  <si>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</si>
  <si>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</si>
  <si>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</si>
  <si>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</si>
  <si>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</si>
  <si>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</si>
  <si>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</si>
  <si>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</si>
  <si>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</si>
  <si>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</si>
  <si>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</si>
  <si>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</si>
  <si>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</si>
  <si>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</si>
  <si>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</si>
  <si>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</si>
  <si>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</si>
  <si>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</si>
  <si>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</si>
  <si>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</si>
  <si>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</si>
  <si>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</si>
  <si>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</si>
  <si>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</si>
  <si>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</si>
  <si>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</si>
  <si>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</si>
  <si>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</si>
  <si>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</si>
  <si>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</si>
  <si>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</si>
  <si>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</si>
  <si>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</si>
  <si>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</si>
  <si>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</si>
  <si>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</si>
  <si>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</si>
  <si>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</si>
  <si>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</si>
  <si>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</si>
  <si>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</si>
  <si>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</si>
  <si>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</si>
  <si>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</si>
  <si>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</si>
  <si>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</si>
  <si>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</si>
  <si>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</si>
  <si>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</si>
  <si>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</si>
  <si>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</si>
  <si>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</si>
  <si>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</si>
  <si>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</si>
  <si>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</si>
  <si>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</si>
  <si>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</si>
  <si>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</si>
  <si>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</si>
  <si>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</si>
  <si>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</si>
  <si>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</si>
  <si>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</si>
  <si>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</si>
  <si>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</si>
  <si>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</si>
  <si>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</si>
  <si>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</si>
  <si>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</si>
  <si>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</si>
  <si>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</si>
  <si>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</si>
  <si>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</si>
  <si>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</si>
  <si>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</si>
  <si>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</si>
  <si>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</si>
  <si>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</si>
  <si>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</si>
  <si>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</si>
  <si>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</si>
  <si>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</si>
  <si>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</si>
  <si>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</si>
  <si>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</si>
  <si>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</si>
  <si>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</si>
  <si>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</si>
  <si>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</si>
  <si>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</si>
  <si>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</si>
  <si>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</si>
  <si>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</si>
  <si>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</si>
  <si>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</si>
  <si>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</si>
  <si>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</si>
  <si>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</si>
  <si>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</si>
  <si>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</si>
  <si>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</si>
  <si>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</si>
  <si>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</si>
  <si>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</si>
  <si>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</si>
  <si>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</si>
  <si>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</si>
  <si>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</si>
  <si>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</si>
  <si>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</si>
  <si>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</si>
  <si>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</si>
  <si>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</si>
  <si>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</si>
  <si>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</si>
  <si>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</si>
  <si>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</si>
  <si>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</si>
  <si>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</si>
  <si>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</si>
  <si>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</si>
  <si>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</si>
  <si>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</si>
  <si>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</si>
  <si>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</si>
  <si>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</si>
  <si>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</si>
  <si>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</si>
  <si>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</si>
  <si>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</si>
  <si>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</si>
  <si>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</si>
  <si>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</si>
  <si>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</si>
  <si>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</si>
  <si>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</si>
  <si>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</si>
  <si>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</si>
  <si>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</si>
  <si>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</si>
  <si>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</si>
  <si>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</si>
  <si>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</si>
  <si>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</si>
  <si>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</si>
  <si>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</si>
  <si>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</si>
  <si>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</si>
  <si>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</si>
  <si>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</si>
  <si>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</si>
  <si>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</si>
  <si>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</si>
  <si>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</si>
  <si>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</si>
  <si>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</si>
  <si>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</si>
  <si>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</si>
  <si>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</si>
  <si>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</si>
  <si>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</si>
  <si>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</si>
  <si>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</si>
  <si>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</si>
  <si>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</si>
  <si>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</si>
  <si>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</si>
  <si>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</si>
  <si>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</si>
  <si>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</si>
  <si>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</si>
  <si>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</si>
  <si>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</si>
  <si>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</si>
  <si>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</si>
  <si>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</si>
  <si>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</si>
  <si>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</si>
  <si>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</si>
  <si>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</si>
  <si>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</si>
  <si>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</si>
  <si>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</si>
  <si>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</si>
  <si>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</si>
  <si>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</si>
  <si>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</si>
  <si>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</si>
  <si>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</si>
  <si>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</si>
  <si>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</si>
  <si>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</si>
  <si>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</si>
  <si>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</si>
  <si>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</si>
  <si>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</si>
  <si>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</si>
  <si>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</si>
  <si>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</si>
  <si>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</si>
  <si>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PlaceHolder_5</t>
    <phoneticPr fontId="3" type="noConversion"/>
  </si>
  <si>
    <t>0016.HK</t>
  </si>
  <si>
    <t>新鴻基地產</t>
  </si>
  <si>
    <t>C0005</t>
  </si>
  <si>
    <t>disagree</t>
  </si>
  <si>
    <t>Commodity-type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</si>
</sst>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281</v>
      </c>
      <c r="D4" s="66"/>
    </row>
    <row r="5" spans="1:5" x14ac:dyDescent="0.35">
      <c r="B5" s="46" t="s">
        <v>171</v>
      </c>
      <c r="C5" s="67" t="s">
        <v>282</v>
      </c>
    </row>
    <row r="6" spans="1:5" x14ac:dyDescent="0.35">
      <c r="B6" s="46" t="s">
        <v>272</v>
      </c>
      <c r="C6" s="68">
        <v>45625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283</v>
      </c>
    </row>
    <row r="10" spans="1:5" x14ac:dyDescent="0.35">
      <c r="B10" s="39" t="s">
        <v>193</v>
      </c>
      <c r="C10" s="70">
        <v>2897780274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45473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167</v>
      </c>
    </row>
    <row r="16" spans="1:5" x14ac:dyDescent="0.35">
      <c r="B16" s="74" t="s">
        <v>89</v>
      </c>
      <c r="C16" s="125">
        <v>0.23499999999999999</v>
      </c>
      <c r="D16" s="75"/>
      <c r="E16" s="25" t="s">
        <v>255</v>
      </c>
    </row>
    <row r="17" spans="2:13" x14ac:dyDescent="0.35">
      <c r="B17" s="56" t="s">
        <v>199</v>
      </c>
      <c r="C17" s="126" t="s">
        <v>284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45473</v>
      </c>
      <c r="D24" s="295">
        <f>EOMONTH(EDATE(C24,-12),0)</f>
        <v>45107</v>
      </c>
      <c r="E24" s="295">
        <f t="shared" ref="E24:M24" si="0">EOMONTH(EDATE(D24,-12),0)</f>
        <v>44742</v>
      </c>
      <c r="F24" s="295">
        <f t="shared" si="0"/>
        <v>44377</v>
      </c>
      <c r="G24" s="295">
        <f t="shared" si="0"/>
        <v>44012</v>
      </c>
      <c r="H24" s="295">
        <f t="shared" si="0"/>
        <v>43646</v>
      </c>
      <c r="I24" s="295">
        <f t="shared" si="0"/>
        <v>43281</v>
      </c>
      <c r="J24" s="295">
        <f t="shared" si="0"/>
        <v>42916</v>
      </c>
      <c r="K24" s="295">
        <f t="shared" si="0"/>
        <v>42551</v>
      </c>
      <c r="L24" s="295">
        <f t="shared" si="0"/>
        <v>42185</v>
      </c>
      <c r="M24" s="295">
        <f t="shared" si="0"/>
        <v>41820</v>
      </c>
    </row>
    <row r="25" spans="2:13" x14ac:dyDescent="0.35">
      <c r="B25" s="79" t="s">
        <v>12</v>
      </c>
      <c r="C25" s="80">
        <v>71506</v>
      </c>
      <c r="D25" s="80">
        <v>71195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39292</v>
      </c>
      <c r="D26" s="82">
        <v>36737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3906+3322</f>
        <v>7228</v>
      </c>
      <c r="D27" s="82">
        <f>4179+3145</f>
        <v>7324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4046</v>
      </c>
      <c r="D29" s="82">
        <v>3053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559</v>
      </c>
      <c r="D30" s="82">
        <v>668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v>-2259</v>
      </c>
      <c r="D31" s="82">
        <v>-1565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v>4805</v>
      </c>
      <c r="D32" s="82">
        <v>4765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4396</v>
      </c>
      <c r="D33" s="82">
        <v>4262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>
        <v>207023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>
        <v>611071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>
        <v>4354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0.95+2.8</f>
        <v>3.75</v>
      </c>
      <c r="D44" s="86">
        <f>3.7+1.25</f>
        <v>4.95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5.040322580645161E-2</v>
      </c>
      <c r="D45" s="87">
        <f>IF(D44="","",D44*Exchange_Rate/Dashboard!$G$3)</f>
        <v>6.6532258064516125E-2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>
        <v>16221</v>
      </c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>
        <v>17115</v>
      </c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>
        <v>748</v>
      </c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>
        <v>502</v>
      </c>
      <c r="D55" s="114">
        <f>D52</f>
        <v>0.5</v>
      </c>
      <c r="E55" s="266"/>
    </row>
    <row r="56" spans="2:5" x14ac:dyDescent="0.35">
      <c r="B56" s="2" t="s">
        <v>41</v>
      </c>
      <c r="C56" s="91">
        <v>214077</v>
      </c>
      <c r="D56" s="114">
        <f>D50</f>
        <v>0.6</v>
      </c>
      <c r="E56" s="267" t="s">
        <v>39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>
        <v>1681</v>
      </c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>
        <f>7954+93101</f>
        <v>101055</v>
      </c>
      <c r="D65" s="114">
        <v>0.1</v>
      </c>
      <c r="E65" s="267" t="s">
        <v>64</v>
      </c>
    </row>
    <row r="66" spans="2:5" x14ac:dyDescent="0.35">
      <c r="B66" s="9" t="s">
        <v>65</v>
      </c>
      <c r="C66" s="91">
        <v>408424</v>
      </c>
      <c r="D66" s="114">
        <v>0.2</v>
      </c>
      <c r="E66" s="267" t="s">
        <v>39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>
        <v>50190</v>
      </c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>
        <v>4338</v>
      </c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>
        <v>3743</v>
      </c>
      <c r="D72" s="116">
        <v>0</v>
      </c>
      <c r="E72" s="268"/>
    </row>
    <row r="73" spans="2:5" x14ac:dyDescent="0.35">
      <c r="B73" s="9" t="s">
        <v>32</v>
      </c>
      <c r="C73" s="91">
        <v>10498</v>
      </c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>
        <v>62012</v>
      </c>
    </row>
    <row r="78" spans="2:5" ht="12" thickTop="1" x14ac:dyDescent="0.35">
      <c r="B78" s="9" t="s">
        <v>55</v>
      </c>
      <c r="C78" s="91">
        <v>116589</v>
      </c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>
        <v>145011</v>
      </c>
    </row>
    <row r="83" spans="2:8" ht="12" hidden="1" thickTop="1" x14ac:dyDescent="0.35">
      <c r="B83" s="98" t="s">
        <v>251</v>
      </c>
      <c r="C83" s="84">
        <v>606717</v>
      </c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220</v>
      </c>
      <c r="C87" s="112" t="s">
        <v>278</v>
      </c>
      <c r="D87" s="113">
        <v>0.02</v>
      </c>
    </row>
    <row r="89" spans="2:8" x14ac:dyDescent="0.35">
      <c r="B89" s="99" t="s">
        <v>118</v>
      </c>
      <c r="C89" s="309">
        <f>C24</f>
        <v>45473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71506</v>
      </c>
      <c r="D91" s="103"/>
      <c r="E91" s="104">
        <f>C91</f>
        <v>71506</v>
      </c>
      <c r="F91" s="104">
        <f>C91</f>
        <v>71506</v>
      </c>
    </row>
    <row r="92" spans="2:8" x14ac:dyDescent="0.35">
      <c r="B92" s="105" t="s">
        <v>98</v>
      </c>
      <c r="C92" s="102">
        <f>C26</f>
        <v>39292</v>
      </c>
      <c r="D92" s="106">
        <f>C92/C91</f>
        <v>0.54949235029228316</v>
      </c>
      <c r="E92" s="107">
        <f>E91*D92</f>
        <v>39292</v>
      </c>
      <c r="F92" s="107">
        <f>F91*D92</f>
        <v>39292</v>
      </c>
    </row>
    <row r="93" spans="2:8" x14ac:dyDescent="0.35">
      <c r="B93" s="105" t="s">
        <v>219</v>
      </c>
      <c r="C93" s="102">
        <f>C27+C28</f>
        <v>7228</v>
      </c>
      <c r="D93" s="106">
        <f>C93/C91</f>
        <v>0.10108242664951193</v>
      </c>
      <c r="E93" s="107">
        <f>E91*D93</f>
        <v>7228</v>
      </c>
      <c r="F93" s="107">
        <f>F91*D93</f>
        <v>7228</v>
      </c>
    </row>
    <row r="94" spans="2:8" x14ac:dyDescent="0.35">
      <c r="B94" s="105" t="s">
        <v>225</v>
      </c>
      <c r="C94" s="102">
        <f>C29</f>
        <v>4046</v>
      </c>
      <c r="D94" s="106">
        <f>C94/C91</f>
        <v>5.6582664391799292E-2</v>
      </c>
      <c r="E94" s="108"/>
      <c r="F94" s="107">
        <f>F91*D94</f>
        <v>4046</v>
      </c>
    </row>
    <row r="95" spans="2:8" x14ac:dyDescent="0.35">
      <c r="B95" s="18" t="s">
        <v>218</v>
      </c>
      <c r="C95" s="102">
        <f>ABS(MAX(C33,0)-C32)</f>
        <v>409</v>
      </c>
      <c r="D95" s="106">
        <f>C95/C91</f>
        <v>5.719799737085E-3</v>
      </c>
      <c r="E95" s="107">
        <f>E91*D95</f>
        <v>409</v>
      </c>
      <c r="F95" s="107">
        <f>F91*D95</f>
        <v>409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730.718954248366</v>
      </c>
      <c r="D97" s="106">
        <f>C97/C91</f>
        <v>1.0218987976510586E-2</v>
      </c>
      <c r="E97" s="108"/>
      <c r="F97" s="107">
        <f>F91*D97</f>
        <v>730.718954248366</v>
      </c>
    </row>
    <row r="98" spans="2:6" x14ac:dyDescent="0.35">
      <c r="B98" s="8" t="s">
        <v>183</v>
      </c>
      <c r="C98" s="109">
        <f>C44</f>
        <v>3.75</v>
      </c>
      <c r="D98" s="110"/>
      <c r="E98" s="111">
        <f>F98</f>
        <v>3.75</v>
      </c>
      <c r="F98" s="111">
        <f>C98</f>
        <v>3.75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0016.HK : 新鴻基地產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0016.HK</v>
      </c>
      <c r="D3" s="312"/>
      <c r="E3" s="3"/>
      <c r="F3" s="9" t="s">
        <v>1</v>
      </c>
      <c r="G3" s="10">
        <v>74.400000000000006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新鴻基地產</v>
      </c>
      <c r="D4" s="314"/>
      <c r="E4" s="3"/>
      <c r="F4" s="9" t="s">
        <v>3</v>
      </c>
      <c r="G4" s="317">
        <f>Inputs!C10</f>
        <v>2897780274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45625</v>
      </c>
      <c r="D5" s="316"/>
      <c r="E5" s="16"/>
      <c r="F5" s="12" t="s">
        <v>92</v>
      </c>
      <c r="G5" s="320">
        <f>G3*G4/1000000</f>
        <v>215594.85238560001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45473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C0005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>
        <f>C21*C22*C23</f>
        <v>3.9977915643952019E-2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0.33920623508169434</v>
      </c>
      <c r="F21" s="3"/>
      <c r="G21" s="34"/>
    </row>
    <row r="22" spans="1:8" ht="15.75" customHeight="1" x14ac:dyDescent="0.35">
      <c r="B22" s="35" t="s">
        <v>248</v>
      </c>
      <c r="C22" s="36">
        <f>Data!C48</f>
        <v>8.7405603757025482E-2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>
        <f>1/Data!C53</f>
        <v>1.3483947210973155</v>
      </c>
      <c r="F23" s="39" t="s">
        <v>166</v>
      </c>
      <c r="G23" s="40">
        <f>G3/(Data!C34*Data!C4/Common_Shares*Exchange_Rate)</f>
        <v>0.35281473410716596</v>
      </c>
    </row>
    <row r="24" spans="1:8" ht="15.75" customHeight="1" x14ac:dyDescent="0.35">
      <c r="B24" s="41" t="s">
        <v>242</v>
      </c>
      <c r="C24" s="42">
        <f>Fin_Analysis!I81</f>
        <v>5.6582664391799292E-2</v>
      </c>
      <c r="F24" s="39" t="s">
        <v>227</v>
      </c>
      <c r="G24" s="43">
        <f>G3/(Fin_Analysis!H86*G7)</f>
        <v>14.233299810268752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0.71740422430790074</v>
      </c>
    </row>
    <row r="26" spans="1:8" ht="15.75" customHeight="1" x14ac:dyDescent="0.35">
      <c r="B26" s="45" t="s">
        <v>244</v>
      </c>
      <c r="C26" s="44">
        <f>Fin_Analysis!I80+Fin_Analysis!I82</f>
        <v>5.719799737085E-3</v>
      </c>
      <c r="F26" s="46" t="s">
        <v>169</v>
      </c>
      <c r="G26" s="47">
        <f>Fin_Analysis!H88*Exchange_Rate/G3</f>
        <v>5.040322580645161E-2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29.375036340979005</v>
      </c>
      <c r="D29" s="54">
        <f>G29*(1+G20)</f>
        <v>64.917419914362554</v>
      </c>
      <c r="E29" s="3"/>
      <c r="F29" s="55">
        <f>IF(Fin_Analysis!C108="Profit",Fin_Analysis!F100,IF(Fin_Analysis!C108="Dividend",Fin_Analysis!F103,Fin_Analysis!F106))</f>
        <v>34.558866283504713</v>
      </c>
      <c r="G29" s="319">
        <f>IF(Fin_Analysis!C108="Profit",Fin_Analysis!I100,IF(Fin_Analysis!C108="Dividend",Fin_Analysis!I103,Fin_Analysis!I106))</f>
        <v>56.449930360315264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disagree</v>
      </c>
    </row>
    <row r="34" spans="1:4" ht="15.75" customHeight="1" x14ac:dyDescent="0.35">
      <c r="B34" s="57" t="s">
        <v>200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45473</v>
      </c>
      <c r="E3" s="143" t="s">
        <v>176</v>
      </c>
      <c r="F3" s="144" t="str">
        <f>H14</f>
        <v/>
      </c>
      <c r="G3" s="144">
        <f>C14</f>
        <v>24255.281045751635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45473</v>
      </c>
      <c r="D5" s="295">
        <f>EOMONTH(EDATE(C5,-12),0)</f>
        <v>45107</v>
      </c>
      <c r="E5" s="295">
        <f t="shared" ref="E5:M5" si="0">EOMONTH(EDATE(D5,-12),0)</f>
        <v>44742</v>
      </c>
      <c r="F5" s="295">
        <f t="shared" si="0"/>
        <v>44377</v>
      </c>
      <c r="G5" s="295">
        <f t="shared" si="0"/>
        <v>44012</v>
      </c>
      <c r="H5" s="295">
        <f t="shared" si="0"/>
        <v>43646</v>
      </c>
      <c r="I5" s="295">
        <f t="shared" si="0"/>
        <v>43281</v>
      </c>
      <c r="J5" s="295">
        <f t="shared" si="0"/>
        <v>42916</v>
      </c>
      <c r="K5" s="295">
        <f t="shared" si="0"/>
        <v>42551</v>
      </c>
      <c r="L5" s="295">
        <f t="shared" si="0"/>
        <v>42185</v>
      </c>
      <c r="M5" s="295">
        <f t="shared" si="0"/>
        <v>41820</v>
      </c>
    </row>
    <row r="6" spans="1:14" ht="15.75" customHeight="1" x14ac:dyDescent="0.35">
      <c r="A6" s="140"/>
      <c r="B6" s="269" t="s">
        <v>12</v>
      </c>
      <c r="C6" s="147">
        <f>IF(Inputs!C25=""," ",Inputs!C25)</f>
        <v>71506</v>
      </c>
      <c r="D6" s="147">
        <f>IF(Inputs!D25="","",Inputs!D25)</f>
        <v>71195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4.3682842896271001E-3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39292</v>
      </c>
      <c r="D8" s="149">
        <f>IF(Inputs!D26="","",Inputs!D26)</f>
        <v>36737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32214</v>
      </c>
      <c r="D9" s="279">
        <f t="shared" si="2"/>
        <v>34458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7228</v>
      </c>
      <c r="D10" s="149">
        <f>IF(Inputs!D27="","",Inputs!D27)</f>
        <v>7324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730.718954248366</v>
      </c>
      <c r="D12" s="149">
        <f>IF(Inputs!D30="","",MAX(Inputs!D30,0)/(1-Fin_Analysis!$I$84))</f>
        <v>873.20261437908493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0.33920623508169434</v>
      </c>
      <c r="D13" s="300">
        <f t="shared" si="3"/>
        <v>0.36885732685751688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24255.281045751635</v>
      </c>
      <c r="D14" s="302">
        <f t="shared" ref="D14:M14" si="4">IF(D6="","",D9-D10-MAX(D11,0)-MAX(D12,0))</f>
        <v>26260.797385620914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-7.6369209602424257E-2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-2259</v>
      </c>
      <c r="D16" s="149">
        <f>IF(Inputs!D31="","",Inputs!D31)</f>
        <v>-1565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4046</v>
      </c>
      <c r="D17" s="149">
        <f>IF(Inputs!D29="","",Inputs!D29)</f>
        <v>3053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6.7197158280424024E-2</v>
      </c>
      <c r="D18" s="233">
        <f t="shared" si="6"/>
        <v>6.6928857363578897E-2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4805</v>
      </c>
      <c r="D19" s="149">
        <f>IF(Inputs!D32="","",Inputs!D32)</f>
        <v>4765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6.1477358543339022E-2</v>
      </c>
      <c r="D20" s="233">
        <f t="shared" si="7"/>
        <v>5.9863754477140249E-2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4396</v>
      </c>
      <c r="D21" s="149">
        <f>IF(Inputs!D33="","",Inputs!D33)</f>
        <v>4262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19800.281045751635</v>
      </c>
      <c r="D22" s="283">
        <f t="shared" ref="D22:M22" si="8">IF(D6="","",D14-MAX(D16,0)-MAX(D17,0)-ABS(MAX(D21,0)-MAX(D19,0)))</f>
        <v>22704.797385620914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0.21183138477889971</v>
      </c>
      <c r="D23" s="148">
        <f t="shared" si="9"/>
        <v>0.2439661493082379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15147.215000000002</v>
      </c>
      <c r="D24" s="282">
        <f>IF(D6="","",D22*(1-Fin_Analysis!$I$84))</f>
        <v>17369.169999999998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-0.12792522613343046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45107</v>
      </c>
      <c r="E26" s="78">
        <f t="shared" ref="E26" si="11">EOMONTH(EDATE(D26,-12),0)</f>
        <v>44742</v>
      </c>
      <c r="F26" s="78">
        <f t="shared" ref="F26" si="12">EOMONTH(EDATE(E26,-12),0)</f>
        <v>44377</v>
      </c>
      <c r="G26" s="78">
        <f t="shared" ref="G26" si="13">EOMONTH(EDATE(F26,-12),0)</f>
        <v>44012</v>
      </c>
      <c r="H26" s="78">
        <f t="shared" ref="H26" si="14">EOMONTH(EDATE(G26,-12),0)</f>
        <v>43646</v>
      </c>
      <c r="I26" s="78">
        <f t="shared" ref="I26" si="15">EOMONTH(EDATE(H26,-12),0)</f>
        <v>43281</v>
      </c>
      <c r="J26" s="78">
        <f t="shared" ref="J26" si="16">EOMONTH(EDATE(I26,-12),0)</f>
        <v>42916</v>
      </c>
      <c r="K26" s="78">
        <f t="shared" ref="K26" si="17">EOMONTH(EDATE(J26,-12),0)</f>
        <v>42551</v>
      </c>
      <c r="L26" s="78">
        <f t="shared" ref="L26" si="18">EOMONTH(EDATE(K26,-12),0)</f>
        <v>42185</v>
      </c>
      <c r="M26" s="78">
        <f t="shared" ref="M26" si="19">EOMONTH(EDATE(L26,-12),0)</f>
        <v>41820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818094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17115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502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207023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10498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116589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127087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611071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4354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698389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>
        <f>IF(C6="","",C14/MAX(C37,0))</f>
        <v>3.4730330869689581E-2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0.54949235029228316</v>
      </c>
      <c r="D40" s="156">
        <f t="shared" si="34"/>
        <v>0.51600533745347288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0.10108242664951193</v>
      </c>
      <c r="D41" s="151">
        <f t="shared" si="35"/>
        <v>0.10287239272420816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5.6582664391799292E-2</v>
      </c>
      <c r="D43" s="151">
        <f t="shared" si="37"/>
        <v>4.2882224875342372E-2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1.0218987976510586E-2</v>
      </c>
      <c r="D44" s="151">
        <f t="shared" si="38"/>
        <v>1.2264942964802092E-2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5.719799737085E-3</v>
      </c>
      <c r="D45" s="151">
        <f t="shared" si="39"/>
        <v>7.0651028864386544E-3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0.27690377095281005</v>
      </c>
      <c r="D46" s="289">
        <f t="shared" si="40"/>
        <v>0.31890999909573586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>
        <f t="shared" ref="C48:M48" si="41">IF(C6="","",C6/C27)</f>
        <v>8.7405603757025482E-2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0.23935054401029285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7.0203898973512716E-3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-7.2636655948553051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>
        <f t="shared" ref="C53:M53" si="45">IF(C34="","",(C34-C35)/C27)</f>
        <v>0.74162260082582199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>
        <f t="shared" ref="C54:M54" si="46">IF(OR(C22="",C33=""),"",IF(C33&lt;=0,"-",C22/C33))</f>
        <v>0.15580099495425681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0.20434053388692244</v>
      </c>
      <c r="D55" s="151">
        <f t="shared" si="47"/>
        <v>0.13446497443458727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>
        <f t="shared" ref="C58:M58" si="49">IF(C14="","",C14/(C34-C35))</f>
        <v>3.9977915643952013E-2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>
        <f t="shared" ref="C59:M59" si="50">IF(C22="","",C22/(C34-C35))</f>
        <v>3.2635118260657993E-2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611071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606717</v>
      </c>
      <c r="K3" s="75"/>
    </row>
    <row r="4" spans="1:11" ht="15" customHeight="1" x14ac:dyDescent="0.35">
      <c r="B4" s="9" t="s">
        <v>22</v>
      </c>
      <c r="C4" s="3"/>
      <c r="D4" s="149">
        <f>Inputs!C42</f>
        <v>4354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>
        <f>C28/I28</f>
        <v>4.0099174353350966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40428.799999999988</v>
      </c>
      <c r="E6" s="176">
        <f>1-D6/D3</f>
        <v>0.93383943927956004</v>
      </c>
      <c r="F6" s="3"/>
      <c r="G6" s="3"/>
      <c r="H6" s="2" t="s">
        <v>25</v>
      </c>
      <c r="I6" s="174">
        <f>(C24+C25)/I28</f>
        <v>0.54963555440882406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13.951644423403231</v>
      </c>
      <c r="E7" s="173" t="str">
        <f>Dashboard!H3</f>
        <v>HKD</v>
      </c>
      <c r="H7" s="2" t="s">
        <v>26</v>
      </c>
      <c r="I7" s="174">
        <f>C24/I28</f>
        <v>0.53757337289556861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FY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16221</v>
      </c>
      <c r="D11" s="264">
        <f>Inputs!D48</f>
        <v>0.9</v>
      </c>
      <c r="E11" s="182">
        <f t="shared" ref="E11:E22" si="0">C11*D11</f>
        <v>14598.9</v>
      </c>
      <c r="F11" s="266"/>
      <c r="G11" s="3"/>
      <c r="H11" s="9" t="s">
        <v>32</v>
      </c>
      <c r="I11" s="181">
        <f>Inputs!C73</f>
        <v>10498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17115</v>
      </c>
      <c r="D13" s="264">
        <f>Inputs!D50</f>
        <v>0.6</v>
      </c>
      <c r="E13" s="182">
        <f t="shared" si="0"/>
        <v>10269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748</v>
      </c>
      <c r="D15" s="264">
        <f>Inputs!D52</f>
        <v>0.5</v>
      </c>
      <c r="E15" s="182">
        <f t="shared" si="0"/>
        <v>374</v>
      </c>
      <c r="F15" s="266"/>
      <c r="G15" s="3"/>
      <c r="H15" s="2" t="s">
        <v>47</v>
      </c>
      <c r="I15" s="186">
        <f>SUM(I11:I14)</f>
        <v>10498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502</v>
      </c>
      <c r="D18" s="264">
        <f>Inputs!D55</f>
        <v>0.5</v>
      </c>
      <c r="E18" s="182">
        <f t="shared" si="0"/>
        <v>251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214077</v>
      </c>
      <c r="D19" s="264">
        <f>Inputs!D56</f>
        <v>0.6</v>
      </c>
      <c r="E19" s="182">
        <f t="shared" si="0"/>
        <v>128446.2</v>
      </c>
      <c r="F19" s="266" t="str">
        <f>Inputs!E56</f>
        <v>Y</v>
      </c>
      <c r="G19" s="187">
        <f>IF(F19="Y",0,1)</f>
        <v>0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51514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33336</v>
      </c>
      <c r="D24" s="191">
        <f>IF(E24=0,0,E24/C24)</f>
        <v>0.74597732181425491</v>
      </c>
      <c r="E24" s="182">
        <f>SUM(E11:E14)</f>
        <v>24867.9</v>
      </c>
      <c r="F24" s="192">
        <f>E24/$E$28</f>
        <v>0.16154375334141879</v>
      </c>
      <c r="G24" s="3"/>
    </row>
    <row r="25" spans="2:10" ht="15" customHeight="1" x14ac:dyDescent="0.35">
      <c r="B25" s="189" t="s">
        <v>48</v>
      </c>
      <c r="C25" s="190">
        <f>SUM(C15:C17)</f>
        <v>748</v>
      </c>
      <c r="D25" s="191">
        <f>IF(E25=0,0,E25/C25)</f>
        <v>0.5</v>
      </c>
      <c r="E25" s="182">
        <f>SUM(E15:E17)</f>
        <v>374</v>
      </c>
      <c r="F25" s="192">
        <f>E25/$E$28</f>
        <v>2.4295321981225044E-3</v>
      </c>
      <c r="G25" s="3"/>
      <c r="H25" s="189" t="s">
        <v>49</v>
      </c>
      <c r="I25" s="174">
        <f>E28/I28</f>
        <v>2.4824082435657617</v>
      </c>
    </row>
    <row r="26" spans="2:10" ht="15" customHeight="1" x14ac:dyDescent="0.35">
      <c r="B26" s="189" t="s">
        <v>50</v>
      </c>
      <c r="C26" s="190">
        <f>C18+C19+C20</f>
        <v>214579</v>
      </c>
      <c r="D26" s="191">
        <f>IF(E26=0,0,E26/C26)</f>
        <v>0.59976605352807122</v>
      </c>
      <c r="E26" s="182">
        <f>E18+E19+E20</f>
        <v>128697.2</v>
      </c>
      <c r="F26" s="192">
        <f>E26/$E$28</f>
        <v>0.83602671446045862</v>
      </c>
      <c r="G26" s="3"/>
      <c r="H26" s="189" t="s">
        <v>51</v>
      </c>
      <c r="I26" s="174">
        <f>E24/($I$28-I22)</f>
        <v>2.3688226328824538</v>
      </c>
      <c r="J26" s="193" t="str">
        <f>IF(I26&lt;1,"Liquidity Problem!","")</f>
        <v/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53</v>
      </c>
      <c r="I27" s="174">
        <f>(E25+E24)/$I$28</f>
        <v>0.40704863574791977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15</v>
      </c>
      <c r="C28" s="195">
        <f>SUM(C11:C22)</f>
        <v>248663</v>
      </c>
      <c r="D28" s="196">
        <f>E28/C28</f>
        <v>0.61906717123174737</v>
      </c>
      <c r="E28" s="197">
        <f>SUM(E24:E27)</f>
        <v>153939.1</v>
      </c>
      <c r="F28" s="92"/>
      <c r="G28" s="3"/>
      <c r="H28" s="194" t="s">
        <v>16</v>
      </c>
      <c r="I28" s="167">
        <f>Inputs!C77</f>
        <v>62012</v>
      </c>
      <c r="J28" s="198">
        <f>IF(J26="",1,0)+IF(J27="",1,0)+IF(J46="",1,0)+IF(J47="",1,0)</f>
        <v>1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116589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1681</v>
      </c>
      <c r="D32" s="264">
        <f>Inputs!D62</f>
        <v>0.5</v>
      </c>
      <c r="E32" s="182">
        <f t="shared" si="1"/>
        <v>840.5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116589</v>
      </c>
      <c r="J34" s="3"/>
    </row>
    <row r="35" spans="2:10" ht="11.65" x14ac:dyDescent="0.35">
      <c r="B35" s="9" t="s">
        <v>63</v>
      </c>
      <c r="C35" s="181">
        <f>Inputs!C65</f>
        <v>101055</v>
      </c>
      <c r="D35" s="264">
        <f>Inputs!D65</f>
        <v>0.1</v>
      </c>
      <c r="E35" s="182">
        <f t="shared" si="1"/>
        <v>10105.5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408424</v>
      </c>
      <c r="D36" s="264">
        <f>Inputs!D66</f>
        <v>0.2</v>
      </c>
      <c r="E36" s="182">
        <f t="shared" si="1"/>
        <v>81684.800000000003</v>
      </c>
      <c r="F36" s="266" t="str">
        <f>Inputs!E66</f>
        <v>Y</v>
      </c>
      <c r="G36" s="187">
        <f>IF(F36="Y",0,1)</f>
        <v>0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50190</v>
      </c>
      <c r="D38" s="264">
        <f>Inputs!D68</f>
        <v>0.1</v>
      </c>
      <c r="E38" s="182">
        <f t="shared" si="1"/>
        <v>5019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4338</v>
      </c>
      <c r="D40" s="264">
        <f>Inputs!D70</f>
        <v>0.05</v>
      </c>
      <c r="E40" s="182">
        <f t="shared" si="1"/>
        <v>216.9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3743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28422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102736</v>
      </c>
      <c r="D45" s="191">
        <f>IF(E45=0,0,E45/C45)</f>
        <v>0.10654493069615324</v>
      </c>
      <c r="E45" s="182">
        <f>SUM(E32:E35)</f>
        <v>10946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458614</v>
      </c>
      <c r="D46" s="191">
        <f>IF(E46=0,0,E46/C46)</f>
        <v>0.18905615615746577</v>
      </c>
      <c r="E46" s="182">
        <f>E36+E37+E38+E39</f>
        <v>86703.8</v>
      </c>
      <c r="F46" s="3"/>
      <c r="G46" s="3"/>
      <c r="H46" s="189" t="s">
        <v>74</v>
      </c>
      <c r="I46" s="174">
        <f>(E44+E24)/E64</f>
        <v>0.19567619032631192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75</v>
      </c>
      <c r="C47" s="190">
        <f>C40+C41+C42</f>
        <v>8081</v>
      </c>
      <c r="D47" s="191">
        <f>IF(E47=0,0,E47/C47)</f>
        <v>2.6840737532483606E-2</v>
      </c>
      <c r="E47" s="182">
        <f>E40+E41+E42</f>
        <v>216.9</v>
      </c>
      <c r="F47" s="3"/>
      <c r="G47" s="3"/>
      <c r="H47" s="189" t="s">
        <v>76</v>
      </c>
      <c r="I47" s="174">
        <f>(E44+E45+E24+E25)/$I$49</f>
        <v>0.17480135057457385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77</v>
      </c>
      <c r="C48" s="200">
        <f>SUM(C30:C42)</f>
        <v>569431</v>
      </c>
      <c r="D48" s="201">
        <f>E48/C48</f>
        <v>0.17186753092121784</v>
      </c>
      <c r="E48" s="202">
        <f>SUM(E30:E42)</f>
        <v>97866.7</v>
      </c>
      <c r="F48" s="3"/>
      <c r="G48" s="3"/>
      <c r="H48" s="96" t="s">
        <v>78</v>
      </c>
      <c r="I48" s="203">
        <f>I49-I28</f>
        <v>145011</v>
      </c>
      <c r="J48" s="193"/>
    </row>
    <row r="49" spans="2:11" ht="15" customHeight="1" thickTop="1" x14ac:dyDescent="0.35">
      <c r="B49" s="9" t="s">
        <v>14</v>
      </c>
      <c r="C49" s="190">
        <f>Inputs!C41+Inputs!C37</f>
        <v>818094</v>
      </c>
      <c r="D49" s="176">
        <f>E49/C49</f>
        <v>0.30779568118089118</v>
      </c>
      <c r="E49" s="182">
        <f>E28+E48</f>
        <v>251805.8</v>
      </c>
      <c r="F49" s="3"/>
      <c r="G49" s="3"/>
      <c r="H49" s="9" t="s">
        <v>79</v>
      </c>
      <c r="I49" s="181">
        <f>Inputs!C37</f>
        <v>207023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4354</v>
      </c>
      <c r="D53" s="34">
        <f>IF(E53=0, 0,E53/C53)</f>
        <v>1</v>
      </c>
      <c r="E53" s="182">
        <f>IF(C53=0,0,MAX(C53,C53*Dashboard!G23))</f>
        <v>4354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127087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103484</v>
      </c>
      <c r="D61" s="176">
        <f t="shared" ref="D61:D70" si="2">IF(E61=0,0,E61/C61)</f>
        <v>0.10938889103629547</v>
      </c>
      <c r="E61" s="188">
        <f>E14+E15+(E19*G19)+(E20*G20)+E31+E32+(E35*G35)+(E36*G36)+(E37*G37)</f>
        <v>11320</v>
      </c>
      <c r="F61" s="3"/>
      <c r="G61" s="3"/>
      <c r="H61" s="2" t="s">
        <v>257</v>
      </c>
      <c r="I61" s="209">
        <f>C99*Data!$C$4/Common_Shares</f>
        <v>-34.912274373498619</v>
      </c>
      <c r="K61" s="178"/>
    </row>
    <row r="62" spans="2:11" ht="11.65" x14ac:dyDescent="0.35">
      <c r="B62" s="12" t="s">
        <v>130</v>
      </c>
      <c r="C62" s="210">
        <f>C11+C30</f>
        <v>16221</v>
      </c>
      <c r="D62" s="211">
        <f t="shared" si="2"/>
        <v>0.9</v>
      </c>
      <c r="E62" s="212">
        <f>E11+E30</f>
        <v>14598.9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119705</v>
      </c>
      <c r="D63" s="34">
        <f t="shared" si="2"/>
        <v>0.21652311933503196</v>
      </c>
      <c r="E63" s="190">
        <f>E61+E62</f>
        <v>25918.9</v>
      </c>
      <c r="F63" s="3"/>
      <c r="G63" s="3"/>
      <c r="H63" s="2" t="s">
        <v>258</v>
      </c>
      <c r="I63" s="213">
        <f>IF(I61&gt;0,FV(I62,D93,0,-I61),I61)</f>
        <v>-34.912274373498619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127087</v>
      </c>
      <c r="F64" s="3"/>
      <c r="G64" s="3"/>
      <c r="H64" s="2" t="s">
        <v>259</v>
      </c>
      <c r="I64" s="213">
        <f>IF(I61&gt;0,PV(C94,D93,0,-I63),I61)</f>
        <v>-34.912274373498619</v>
      </c>
      <c r="K64" s="178"/>
    </row>
    <row r="65" spans="1:11" ht="12" thickTop="1" x14ac:dyDescent="0.35">
      <c r="B65" s="9" t="s">
        <v>133</v>
      </c>
      <c r="C65" s="208">
        <f>C63-E64</f>
        <v>-7382</v>
      </c>
      <c r="D65" s="34">
        <f t="shared" si="2"/>
        <v>13.704700623137361</v>
      </c>
      <c r="E65" s="190">
        <f>E63-E64</f>
        <v>-101168.1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698389</v>
      </c>
      <c r="D68" s="34">
        <f t="shared" si="2"/>
        <v>0.32343994535996412</v>
      </c>
      <c r="E68" s="208">
        <f>E49-E63</f>
        <v>225886.9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79936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618453</v>
      </c>
      <c r="D70" s="34">
        <f t="shared" si="2"/>
        <v>0.2359935193135129</v>
      </c>
      <c r="E70" s="208">
        <f>E68-E69</f>
        <v>145950.9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45473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71506</v>
      </c>
      <c r="D74" s="103"/>
      <c r="E74" s="262">
        <f>Inputs!E91</f>
        <v>71506</v>
      </c>
      <c r="F74" s="103"/>
      <c r="H74" s="262">
        <f>Inputs!F91</f>
        <v>71506</v>
      </c>
      <c r="I74" s="103"/>
      <c r="K74" s="75"/>
    </row>
    <row r="75" spans="1:11" ht="15" customHeight="1" x14ac:dyDescent="0.35">
      <c r="B75" s="105" t="s">
        <v>98</v>
      </c>
      <c r="C75" s="102">
        <f>Data!C8</f>
        <v>39292</v>
      </c>
      <c r="D75" s="106">
        <f>C75/$C$74</f>
        <v>0.54949235029228316</v>
      </c>
      <c r="E75" s="262">
        <f>Inputs!E92</f>
        <v>39292</v>
      </c>
      <c r="F75" s="217">
        <f>E75/E74</f>
        <v>0.54949235029228316</v>
      </c>
      <c r="H75" s="262">
        <f>Inputs!F92</f>
        <v>39292</v>
      </c>
      <c r="I75" s="217">
        <f>H75/$H$74</f>
        <v>0.54949235029228316</v>
      </c>
      <c r="K75" s="75"/>
    </row>
    <row r="76" spans="1:11" ht="15" customHeight="1" x14ac:dyDescent="0.35">
      <c r="B76" s="12" t="s">
        <v>88</v>
      </c>
      <c r="C76" s="150">
        <f>C74-C75</f>
        <v>32214</v>
      </c>
      <c r="D76" s="218"/>
      <c r="E76" s="219">
        <f>E74-E75</f>
        <v>32214</v>
      </c>
      <c r="F76" s="218"/>
      <c r="H76" s="219">
        <f>H74-H75</f>
        <v>32214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7228</v>
      </c>
      <c r="D77" s="106">
        <f>C77/$C$74</f>
        <v>0.10108242664951193</v>
      </c>
      <c r="E77" s="262">
        <f>Inputs!E93</f>
        <v>7228</v>
      </c>
      <c r="F77" s="217">
        <f>E77/E74</f>
        <v>0.10108242664951193</v>
      </c>
      <c r="H77" s="262">
        <f>Inputs!F93</f>
        <v>7228</v>
      </c>
      <c r="I77" s="217">
        <f>H77/$H$74</f>
        <v>0.10108242664951193</v>
      </c>
      <c r="K77" s="75"/>
    </row>
    <row r="78" spans="1:11" ht="15" customHeight="1" x14ac:dyDescent="0.35">
      <c r="B78" s="98" t="s">
        <v>153</v>
      </c>
      <c r="C78" s="102">
        <f>MAX(Data!C12,0)</f>
        <v>730.718954248366</v>
      </c>
      <c r="D78" s="106">
        <f>C78/$C$74</f>
        <v>1.0218987976510586E-2</v>
      </c>
      <c r="E78" s="220">
        <f>E74*F78</f>
        <v>730.718954248366</v>
      </c>
      <c r="F78" s="217">
        <f>I78</f>
        <v>1.0218987976510586E-2</v>
      </c>
      <c r="H78" s="262">
        <f>Inputs!F97</f>
        <v>730.718954248366</v>
      </c>
      <c r="I78" s="217">
        <f>H78/$H$74</f>
        <v>1.0218987976510586E-2</v>
      </c>
      <c r="K78" s="75"/>
    </row>
    <row r="79" spans="1:11" ht="15" customHeight="1" x14ac:dyDescent="0.35">
      <c r="B79" s="221" t="s">
        <v>206</v>
      </c>
      <c r="C79" s="222">
        <f>C76-C77-C78</f>
        <v>24255.281045751635</v>
      </c>
      <c r="D79" s="223">
        <f>C79/C74</f>
        <v>0.33920623508169434</v>
      </c>
      <c r="E79" s="224">
        <f>E76-E77-E78</f>
        <v>24255.281045751635</v>
      </c>
      <c r="F79" s="223">
        <f>E79/E74</f>
        <v>0.33920623508169434</v>
      </c>
      <c r="G79" s="225"/>
      <c r="H79" s="224">
        <f>H76-H77-H78</f>
        <v>24255.281045751635</v>
      </c>
      <c r="I79" s="223">
        <f>H79/H74</f>
        <v>0.33920623508169434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4046</v>
      </c>
      <c r="D81" s="106">
        <f>C81/$C$74</f>
        <v>5.6582664391799292E-2</v>
      </c>
      <c r="E81" s="220">
        <f>E74*F81</f>
        <v>4046</v>
      </c>
      <c r="F81" s="217">
        <f>I81</f>
        <v>5.6582664391799292E-2</v>
      </c>
      <c r="H81" s="262">
        <f>Inputs!F94</f>
        <v>4046</v>
      </c>
      <c r="I81" s="217">
        <f>H81/$H$74</f>
        <v>5.6582664391799292E-2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409</v>
      </c>
      <c r="D82" s="106">
        <f>C82/$C$74</f>
        <v>5.719799737085E-3</v>
      </c>
      <c r="E82" s="262">
        <f>Inputs!E95</f>
        <v>409</v>
      </c>
      <c r="F82" s="217">
        <f>E82/E74</f>
        <v>5.719799737085E-3</v>
      </c>
      <c r="H82" s="262">
        <f>Inputs!F95</f>
        <v>409</v>
      </c>
      <c r="I82" s="217">
        <f>H82/$H$74</f>
        <v>5.719799737085E-3</v>
      </c>
      <c r="K82" s="75"/>
    </row>
    <row r="83" spans="1:11" ht="15" customHeight="1" thickBot="1" x14ac:dyDescent="0.4">
      <c r="B83" s="227" t="s">
        <v>116</v>
      </c>
      <c r="C83" s="228">
        <f>C79-C81-C82-C80</f>
        <v>19800.281045751635</v>
      </c>
      <c r="D83" s="229">
        <f>C83/$C$74</f>
        <v>0.27690377095281005</v>
      </c>
      <c r="E83" s="230">
        <f>E79-E81-E82-E80</f>
        <v>19800.281045751635</v>
      </c>
      <c r="F83" s="229">
        <f>E83/E74</f>
        <v>0.27690377095281005</v>
      </c>
      <c r="H83" s="230">
        <f>H79-H81-H82-H80</f>
        <v>19800.281045751635</v>
      </c>
      <c r="I83" s="229">
        <f>H83/$H$74</f>
        <v>0.27690377095281005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149</v>
      </c>
      <c r="C85" s="222">
        <f>C83*(1-I84)</f>
        <v>15147.215000000002</v>
      </c>
      <c r="D85" s="223">
        <f>C85/$C$74</f>
        <v>0.21183138477889971</v>
      </c>
      <c r="E85" s="235">
        <f>E83*(1-F84)</f>
        <v>15147.215000000002</v>
      </c>
      <c r="F85" s="223">
        <f>E85/E74</f>
        <v>0.21183138477889971</v>
      </c>
      <c r="G85" s="225"/>
      <c r="H85" s="235">
        <f>H83*(1-I84)</f>
        <v>15147.215000000002</v>
      </c>
      <c r="I85" s="223">
        <f>H85/$H$74</f>
        <v>0.21183138477889971</v>
      </c>
      <c r="K85" s="75"/>
    </row>
    <row r="86" spans="1:11" ht="15" customHeight="1" x14ac:dyDescent="0.35">
      <c r="B86" s="3" t="s">
        <v>146</v>
      </c>
      <c r="C86" s="236">
        <f>C85*Data!C4/Common_Shares</f>
        <v>5.2271785876612675</v>
      </c>
      <c r="D86" s="103"/>
      <c r="E86" s="237">
        <f>E85*Data!C4/Common_Shares</f>
        <v>5.2271785876612675</v>
      </c>
      <c r="F86" s="103"/>
      <c r="H86" s="237">
        <f>H85*Data!C4/Common_Shares</f>
        <v>5.2271785876612675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7.025777671587724E-2</v>
      </c>
      <c r="D87" s="103"/>
      <c r="E87" s="239">
        <f>E86*Exchange_Rate/Dashboard!G3</f>
        <v>7.025777671587724E-2</v>
      </c>
      <c r="F87" s="103"/>
      <c r="H87" s="239">
        <f>H86*Exchange_Rate/Dashboard!G3</f>
        <v>7.025777671587724E-2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3.75</v>
      </c>
      <c r="D88" s="241">
        <f>C88/C86</f>
        <v>0.71740422430790074</v>
      </c>
      <c r="E88" s="261">
        <f>Inputs!E98</f>
        <v>3.75</v>
      </c>
      <c r="F88" s="241">
        <f>E88/E86</f>
        <v>0.71740422430790074</v>
      </c>
      <c r="H88" s="261">
        <f>Inputs!F98</f>
        <v>3.75</v>
      </c>
      <c r="I88" s="241">
        <f>H88/H86</f>
        <v>0.71740422430790074</v>
      </c>
      <c r="K88" s="75"/>
    </row>
    <row r="89" spans="1:11" ht="15" customHeight="1" x14ac:dyDescent="0.35">
      <c r="B89" s="3" t="s">
        <v>196</v>
      </c>
      <c r="C89" s="238">
        <f>C88*Exchange_Rate/Dashboard!G3</f>
        <v>5.040322580645161E-2</v>
      </c>
      <c r="D89" s="103"/>
      <c r="E89" s="238">
        <f>E88*Exchange_Rate/Dashboard!G3</f>
        <v>5.040322580645161E-2</v>
      </c>
      <c r="F89" s="103"/>
      <c r="H89" s="238">
        <f>H88*Exchange_Rate/Dashboard!G3</f>
        <v>5.040322580645161E-2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HK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185</v>
      </c>
      <c r="F93" s="243">
        <f>FV(E87,D93,0,-(E86/(C93-D94)))*Exchange_Rate</f>
        <v>124.13339248108031</v>
      </c>
      <c r="H93" s="3" t="s">
        <v>185</v>
      </c>
      <c r="I93" s="243">
        <f>FV(H87,D93,0,-(H86/(C93-D94)))*Exchange_Rate</f>
        <v>124.13339248108031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82.627225989499408</v>
      </c>
      <c r="H94" s="3" t="s">
        <v>186</v>
      </c>
      <c r="I94" s="243">
        <f>FV(H89,D93,0,-(H88/(C93-D94)))*Exchange_Rate</f>
        <v>82.627225989499408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205666.10100814365</v>
      </c>
      <c r="D97" s="250"/>
      <c r="E97" s="251">
        <f>PV(C94,D93,0,-F93)</f>
        <v>70.973670037531505</v>
      </c>
      <c r="F97" s="250"/>
      <c r="H97" s="251">
        <f>PV(C94,D93,0,-I93)</f>
        <v>70.973670037531505</v>
      </c>
      <c r="I97" s="251">
        <f>PV(C93,D93,0,-I93)</f>
        <v>92.864734114342056</v>
      </c>
      <c r="K97" s="75"/>
    </row>
    <row r="98" spans="2:11" ht="15" customHeight="1" x14ac:dyDescent="0.35">
      <c r="B98" s="18" t="s">
        <v>135</v>
      </c>
      <c r="C98" s="249">
        <f>-E53*Exchange_Rate</f>
        <v>-4354</v>
      </c>
      <c r="D98" s="250"/>
      <c r="E98" s="250"/>
      <c r="F98" s="250"/>
      <c r="H98" s="251">
        <f>C98*Data!$C$4/Common_Shares</f>
        <v>-1.5025293805281801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-101168.1</v>
      </c>
      <c r="D99" s="254"/>
      <c r="E99" s="255">
        <f>IF(H99&gt;0,I64,H99)</f>
        <v>-34.912274373498619</v>
      </c>
      <c r="F99" s="254"/>
      <c r="H99" s="255">
        <f>I64</f>
        <v>-34.912274373498619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29.375036340979005</v>
      </c>
      <c r="E100" s="257">
        <f>MAX(E97+H98+E99,0)</f>
        <v>34.558866283504713</v>
      </c>
      <c r="F100" s="257">
        <f>(E100+H100)/2</f>
        <v>34.558866283504713</v>
      </c>
      <c r="H100" s="257">
        <f>MAX(H97+H98+H99,0)</f>
        <v>34.558866283504713</v>
      </c>
      <c r="I100" s="257">
        <f>MAX(I97+H98+H99,0)</f>
        <v>56.449930360315264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40.156026938768527</v>
      </c>
      <c r="E103" s="251">
        <f>PV(C94,D93,0,-F94)</f>
        <v>47.242384633845326</v>
      </c>
      <c r="F103" s="257">
        <f>(E103+H103)/2</f>
        <v>47.242384633845326</v>
      </c>
      <c r="H103" s="251">
        <f>PV(C94,D93,0,-I94)</f>
        <v>47.242384633845326</v>
      </c>
      <c r="I103" s="257">
        <f>PV(C93,D93,0,-I94)</f>
        <v>61.813789333841129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34.765531639873764</v>
      </c>
      <c r="E106" s="251">
        <f>(E100+E103)/2</f>
        <v>40.900625458675023</v>
      </c>
      <c r="F106" s="257">
        <f>(F100+F103)/2</f>
        <v>40.900625458675023</v>
      </c>
      <c r="H106" s="251">
        <f>(H100+H103)/2</f>
        <v>40.900625458675023</v>
      </c>
      <c r="I106" s="251">
        <f>(I100+I103)/2</f>
        <v>59.131859847078196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