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93899F5-4EA9-4288-A31F-F40D15561661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6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32" i="4"/>
  <c r="C32" i="4"/>
  <c r="D31" i="4"/>
  <c r="C31" i="4"/>
  <c r="D27" i="4"/>
  <c r="C27" i="4"/>
  <c r="G2" i="1"/>
  <c r="E92" i="4" l="1"/>
  <c r="F97" i="4"/>
  <c r="F92" i="4"/>
  <c r="D53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D52" i="3"/>
  <c r="C98" i="3"/>
  <c r="D6" i="3"/>
  <c r="D53" i="3"/>
  <c r="C57" i="2" l="1"/>
  <c r="D7" i="3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<sst xmlns="http://schemas.openxmlformats.org/spreadsheetml/2006/main" count="403" uniqueCount="286">
  <si>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</si>
  <si>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</si>
  <si>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</si>
  <si>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</si>
  <si>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</si>
  <si>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</si>
  <si>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</si>
  <si>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</si>
  <si>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</si>
  <si>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</si>
  <si>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</si>
  <si>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</si>
  <si>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</si>
  <si>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</si>
  <si>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</si>
  <si>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</si>
  <si>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</si>
  <si>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</si>
  <si>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</si>
  <si>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</si>
  <si>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</si>
  <si>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</si>
  <si>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</si>
  <si>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</si>
  <si>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</si>
  <si>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</si>
  <si>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</si>
  <si>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</si>
  <si>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</si>
  <si>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</si>
  <si>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</si>
  <si>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</si>
  <si>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</si>
  <si>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</si>
  <si>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</si>
  <si>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</si>
  <si>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</si>
  <si>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</si>
  <si>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</si>
  <si>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</si>
  <si>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</si>
  <si>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</si>
  <si>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</si>
  <si>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</si>
  <si>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</si>
  <si>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</si>
  <si>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</si>
  <si>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</si>
  <si>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</si>
  <si>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</si>
  <si>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</si>
  <si>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</si>
  <si>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</si>
  <si>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</si>
  <si>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</si>
  <si>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</si>
  <si>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</si>
  <si>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</si>
  <si>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</si>
  <si>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</si>
  <si>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</si>
  <si>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</si>
  <si>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</si>
  <si>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</si>
  <si>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</si>
  <si>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</si>
  <si>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</si>
  <si>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</si>
  <si>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</si>
  <si>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</si>
  <si>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</si>
  <si>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</si>
  <si>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</si>
  <si>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</si>
  <si>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</si>
  <si>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</si>
  <si>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</si>
  <si>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</si>
  <si>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</si>
  <si>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</si>
  <si>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</si>
  <si>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</si>
  <si>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</si>
  <si>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</si>
  <si>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</si>
  <si>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</si>
  <si>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</si>
  <si>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</si>
  <si>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</si>
  <si>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</si>
  <si>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</si>
  <si>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</si>
  <si>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</si>
  <si>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</si>
  <si>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</si>
  <si>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</si>
  <si>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</si>
  <si>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</si>
  <si>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</si>
  <si>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</si>
  <si>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</si>
  <si>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</si>
  <si>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</si>
  <si>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</si>
  <si>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</si>
  <si>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</si>
  <si>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</si>
  <si>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</si>
  <si>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</si>
  <si>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</si>
  <si>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</si>
  <si>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</si>
  <si>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</si>
  <si>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</si>
  <si>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</si>
  <si>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</si>
  <si>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</si>
  <si>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</si>
  <si>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</si>
  <si>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</si>
  <si>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</si>
  <si>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</si>
  <si>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</si>
  <si>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</si>
  <si>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</si>
  <si>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</si>
  <si>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</si>
  <si>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</si>
  <si>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</si>
  <si>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</si>
  <si>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</si>
  <si>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</si>
  <si>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</si>
  <si>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</si>
  <si>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</si>
  <si>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</si>
  <si>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</si>
  <si>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</si>
  <si>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</si>
  <si>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</si>
  <si>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</si>
  <si>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</si>
  <si>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</si>
  <si>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</si>
  <si>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</si>
  <si>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</si>
  <si>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</si>
  <si>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</si>
  <si>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</si>
  <si>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</si>
  <si>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</si>
  <si>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</si>
  <si>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</si>
  <si>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</si>
  <si>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</si>
  <si>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</si>
  <si>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</si>
  <si>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</si>
  <si>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</si>
  <si>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</si>
  <si>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</si>
  <si>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</si>
  <si>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</si>
  <si>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</si>
  <si>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</si>
  <si>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</si>
  <si>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</si>
  <si>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</si>
  <si>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</si>
  <si>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</si>
  <si>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</si>
  <si>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</si>
  <si>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</si>
  <si>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</si>
  <si>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</si>
  <si>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</si>
  <si>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</si>
  <si>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</si>
  <si>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</si>
  <si>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</si>
  <si>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</si>
  <si>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</si>
  <si>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</si>
  <si>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</si>
  <si>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</si>
  <si>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</si>
  <si>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</si>
  <si>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</si>
  <si>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</si>
  <si>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</si>
  <si>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</si>
  <si>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</si>
  <si>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</si>
  <si>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</si>
  <si>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</si>
  <si>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</si>
  <si>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</si>
  <si>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</si>
  <si>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</si>
  <si>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</si>
  <si>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</si>
  <si>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</si>
  <si>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</si>
  <si>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</si>
  <si>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</si>
  <si>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</si>
  <si>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</si>
  <si>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</si>
  <si>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</si>
  <si>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</si>
  <si>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</si>
  <si>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</si>
  <si>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</si>
  <si>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</si>
  <si>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</si>
  <si>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</si>
  <si>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</si>
  <si>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</si>
  <si>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</si>
  <si>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</si>
  <si>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</si>
  <si>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</si>
  <si>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</si>
  <si>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</si>
  <si>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</si>
  <si>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</si>
  <si>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</si>
  <si>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</si>
  <si>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</si>
  <si>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</si>
  <si>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</si>
  <si>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</si>
  <si>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</si>
  <si>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</si>
  <si>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</si>
  <si>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</si>
  <si>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</si>
  <si>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</si>
  <si>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</si>
  <si>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</si>
  <si>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</si>
  <si>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</si>
  <si>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</si>
  <si>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</si>
  <si>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</si>
  <si>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</si>
  <si>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</si>
  <si>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</si>
  <si>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</si>
  <si>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</si>
  <si>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</si>
  <si>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</si>
  <si>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</si>
  <si>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</si>
  <si>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</si>
  <si>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</si>
  <si>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</si>
  <si>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</si>
  <si>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</si>
  <si>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</si>
  <si>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</si>
  <si>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</si>
  <si>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</si>
  <si>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</si>
  <si>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</si>
  <si>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</si>
  <si>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</si>
  <si>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</si>
  <si>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</si>
  <si>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</si>
  <si>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</si>
  <si>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</si>
  <si>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</si>
  <si>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</si>
  <si>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</si>
  <si>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</si>
  <si>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</si>
  <si>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</si>
  <si>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Unclear</t>
  </si>
  <si>
    <t>Profit</t>
  </si>
  <si>
    <t>Reinvest Nonop @</t>
    <phoneticPr fontId="3" type="noConversion"/>
  </si>
  <si>
    <t>PlaceHolder_5</t>
    <phoneticPr fontId="3" type="noConversion"/>
  </si>
  <si>
    <t>0220.HK</t>
  </si>
  <si>
    <t>统一中国</t>
  </si>
  <si>
    <t>C0002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</si>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</sst>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282</v>
      </c>
      <c r="D4" s="66"/>
    </row>
    <row r="5" spans="1:5" x14ac:dyDescent="0.35">
      <c r="B5" s="46" t="s">
        <v>170</v>
      </c>
      <c r="C5" s="67" t="s">
        <v>283</v>
      </c>
    </row>
    <row r="6" spans="1:5" x14ac:dyDescent="0.35">
      <c r="B6" s="46" t="s">
        <v>271</v>
      </c>
      <c r="C6" s="68">
        <v>45624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63</v>
      </c>
    </row>
    <row r="9" spans="1:5" x14ac:dyDescent="0.35">
      <c r="B9" s="39" t="s">
        <v>191</v>
      </c>
      <c r="C9" s="124" t="s">
        <v>284</v>
      </c>
    </row>
    <row r="10" spans="1:5" x14ac:dyDescent="0.35">
      <c r="B10" s="39" t="s">
        <v>192</v>
      </c>
      <c r="C10" s="70">
        <v>4319334000</v>
      </c>
    </row>
    <row r="11" spans="1:5" x14ac:dyDescent="0.35">
      <c r="B11" s="39" t="s">
        <v>193</v>
      </c>
      <c r="C11" s="69" t="s">
        <v>285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277</v>
      </c>
    </row>
    <row r="16" spans="1:5" x14ac:dyDescent="0.35">
      <c r="B16" s="74" t="s">
        <v>88</v>
      </c>
      <c r="C16" s="125">
        <v>0.25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278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28591271</v>
      </c>
      <c r="D25" s="80">
        <v>28257432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19879540</v>
      </c>
      <c r="D26" s="82">
        <v>20069515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f>6277942+1065856</f>
        <v>7343798</v>
      </c>
      <c r="D27" s="82">
        <f>5886596+1041026</f>
        <v>6927622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59121</v>
      </c>
      <c r="D29" s="82">
        <v>60526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0</v>
      </c>
      <c r="D30" s="82">
        <v>0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f>2962482-3624143</f>
        <v>-661661</v>
      </c>
      <c r="D31" s="82">
        <f>2869480-2055079</f>
        <v>814401</v>
      </c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f>1021274+85158</f>
        <v>1106432</v>
      </c>
      <c r="D32" s="82">
        <f>1023585+92256</f>
        <v>1115841</v>
      </c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v>1078800</v>
      </c>
      <c r="D33" s="82">
        <v>545900</v>
      </c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0.42449999999999999</v>
      </c>
      <c r="D44" s="86">
        <v>0.33950000000000002</v>
      </c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5.6168970732546571E-2</v>
      </c>
      <c r="D45" s="87">
        <f>IF(D44="","",D44*Exchange_Rate/Dashboard!$G$3)</f>
        <v>4.4921944790811685E-2</v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281</v>
      </c>
      <c r="C86" s="84">
        <v>5</v>
      </c>
      <c r="D86" s="305"/>
    </row>
    <row r="87" spans="2:8" x14ac:dyDescent="0.35">
      <c r="B87" s="88" t="s">
        <v>219</v>
      </c>
      <c r="C87" s="112" t="s">
        <v>279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28591271</v>
      </c>
      <c r="D91" s="103"/>
      <c r="E91" s="104">
        <f>C91</f>
        <v>28591271</v>
      </c>
      <c r="F91" s="104">
        <f>C91</f>
        <v>28591271</v>
      </c>
    </row>
    <row r="92" spans="2:8" x14ac:dyDescent="0.35">
      <c r="B92" s="105" t="s">
        <v>97</v>
      </c>
      <c r="C92" s="102">
        <f>C26</f>
        <v>19879540</v>
      </c>
      <c r="D92" s="106">
        <f>C92/C91</f>
        <v>0.69530102386843873</v>
      </c>
      <c r="E92" s="107">
        <f>E91*D92</f>
        <v>19879540</v>
      </c>
      <c r="F92" s="107">
        <f>F91*D92</f>
        <v>19879540</v>
      </c>
    </row>
    <row r="93" spans="2:8" x14ac:dyDescent="0.35">
      <c r="B93" s="105" t="s">
        <v>218</v>
      </c>
      <c r="C93" s="102">
        <f>C27+C28</f>
        <v>7343798</v>
      </c>
      <c r="D93" s="106">
        <f>C93/C91</f>
        <v>0.25685454836897598</v>
      </c>
      <c r="E93" s="107">
        <f>E91*D93</f>
        <v>7343798</v>
      </c>
      <c r="F93" s="107">
        <f>F91*D93</f>
        <v>7343798</v>
      </c>
    </row>
    <row r="94" spans="2:8" x14ac:dyDescent="0.35">
      <c r="B94" s="105" t="s">
        <v>224</v>
      </c>
      <c r="C94" s="102">
        <f>C29</f>
        <v>59121</v>
      </c>
      <c r="D94" s="106">
        <f>C94/C91</f>
        <v>2.0677989446499247E-3</v>
      </c>
      <c r="E94" s="108"/>
      <c r="F94" s="107">
        <f>F91*D94</f>
        <v>59121</v>
      </c>
    </row>
    <row r="95" spans="2:8" x14ac:dyDescent="0.35">
      <c r="B95" s="18" t="s">
        <v>217</v>
      </c>
      <c r="C95" s="102">
        <f>ABS(MAX(C33,0)-C32)</f>
        <v>27632</v>
      </c>
      <c r="D95" s="106">
        <f>C95/C91</f>
        <v>9.6644881579416319E-4</v>
      </c>
      <c r="E95" s="107">
        <f>E91*D95</f>
        <v>27632</v>
      </c>
      <c r="F95" s="107">
        <f>F91*D95</f>
        <v>27632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0.42449999999999999</v>
      </c>
      <c r="D98" s="110"/>
      <c r="E98" s="111">
        <f>F98</f>
        <v>0.42449999999999999</v>
      </c>
      <c r="F98" s="111">
        <f>C98</f>
        <v>0.42449999999999999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0220.HK : 统一中国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169</v>
      </c>
      <c r="C3" s="311" t="str">
        <f>Inputs!C4</f>
        <v>0220.HK</v>
      </c>
      <c r="D3" s="312"/>
      <c r="E3" s="3"/>
      <c r="F3" s="9" t="s">
        <v>1</v>
      </c>
      <c r="G3" s="10">
        <v>8.0399999999999991</v>
      </c>
      <c r="H3" s="11" t="s">
        <v>259</v>
      </c>
    </row>
    <row r="4" spans="1:10" ht="15.75" customHeight="1" x14ac:dyDescent="0.35">
      <c r="B4" s="12" t="s">
        <v>170</v>
      </c>
      <c r="C4" s="313" t="str">
        <f>Inputs!C5</f>
        <v>统一中国</v>
      </c>
      <c r="D4" s="314"/>
      <c r="E4" s="3"/>
      <c r="F4" s="9" t="s">
        <v>2</v>
      </c>
      <c r="G4" s="317">
        <f>Inputs!C10</f>
        <v>4319334000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45624</v>
      </c>
      <c r="D5" s="316"/>
      <c r="E5" s="16"/>
      <c r="F5" s="12" t="s">
        <v>91</v>
      </c>
      <c r="G5" s="320">
        <f>G3*G4/1000000</f>
        <v>34727.445359999998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21" t="str">
        <f>Inputs!C11</f>
        <v>CNY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>N</v>
      </c>
      <c r="D7" s="128" t="str">
        <f>Inputs!C9</f>
        <v>C0002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 t="e">
        <f>C21*C22*C23</f>
        <v>#DIV/0!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240</v>
      </c>
      <c r="C21" s="33">
        <f>Data!C13</f>
        <v>4.7844427762585302E-2</v>
      </c>
      <c r="F21" s="3"/>
      <c r="G21" s="34"/>
    </row>
    <row r="22" spans="1:8" ht="15.75" customHeight="1" x14ac:dyDescent="0.35">
      <c r="B22" s="35" t="s">
        <v>247</v>
      </c>
      <c r="C22" s="36" t="e">
        <f>Data!C48</f>
        <v>#DIV/0!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241</v>
      </c>
      <c r="C24" s="42">
        <f>Fin_Analysis!I81</f>
        <v>2.0677989446499247E-3</v>
      </c>
      <c r="F24" s="39" t="s">
        <v>226</v>
      </c>
      <c r="G24" s="43">
        <f>G3/(Fin_Analysis!H86*G7)</f>
        <v>33.97242925580754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1.9081963845829624</v>
      </c>
    </row>
    <row r="26" spans="1:8" ht="15.75" customHeight="1" x14ac:dyDescent="0.35">
      <c r="B26" s="45" t="s">
        <v>243</v>
      </c>
      <c r="C26" s="44">
        <f>Fin_Analysis!I80+Fin_Analysis!I82</f>
        <v>9.6644881579416319E-4</v>
      </c>
      <c r="F26" s="46" t="s">
        <v>168</v>
      </c>
      <c r="G26" s="47">
        <f>Fin_Analysis!H88*Exchange_Rate/G3</f>
        <v>5.6168970732546571E-2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225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2.1350026825056969</v>
      </c>
      <c r="D29" s="54">
        <f>G29*(1+G20)</f>
        <v>3.7065478939324437</v>
      </c>
      <c r="E29" s="3"/>
      <c r="F29" s="55">
        <f>IF(Fin_Analysis!C108="Profit",Fin_Analysis!F100,IF(Fin_Analysis!C108="Dividend",Fin_Analysis!F103,Fin_Analysis!F106))</f>
        <v>2.5117678617714083</v>
      </c>
      <c r="G29" s="319">
        <f>IF(Fin_Analysis!C108="Profit",Fin_Analysis!I100,IF(Fin_Analysis!C108="Dividend",Fin_Analysis!I103,Fin_Analysis!I106))</f>
        <v>3.2230851251586468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1367933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28591271</v>
      </c>
      <c r="D6" s="147">
        <f>IF(Inputs!D25="","",Inputs!D25)</f>
        <v>28257432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1.1814201658522983E-2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19879540</v>
      </c>
      <c r="D8" s="149">
        <f>IF(Inputs!D26="","",Inputs!D26)</f>
        <v>20069515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8711731</v>
      </c>
      <c r="D9" s="279">
        <f t="shared" si="2"/>
        <v>8187917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7343798</v>
      </c>
      <c r="D10" s="149">
        <f>IF(Inputs!D27="","",Inputs!D27)</f>
        <v>6927622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4.7844427762585302E-2</v>
      </c>
      <c r="D13" s="300">
        <f t="shared" si="3"/>
        <v>4.4600478911176356E-2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1367933</v>
      </c>
      <c r="D14" s="302">
        <f t="shared" ref="D14:M14" si="4">IF(D6="","",D9-D10-MAX(D11,0)-MAX(D12,0))</f>
        <v>1260295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8.5406988046449445E-2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-661661</v>
      </c>
      <c r="D16" s="149">
        <f>IF(Inputs!D31="","",Inputs!D31)</f>
        <v>814401</v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59121</v>
      </c>
      <c r="D17" s="149">
        <f>IF(Inputs!D29="","",Inputs!D29)</f>
        <v>60526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3.8698244649564548E-2</v>
      </c>
      <c r="D18" s="233">
        <f t="shared" si="6"/>
        <v>3.9488407863814377E-2</v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1106432</v>
      </c>
      <c r="D19" s="149">
        <f>IF(Inputs!D32="","",Inputs!D32)</f>
        <v>1115841</v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3.7731795833770385E-2</v>
      </c>
      <c r="D20" s="233">
        <f t="shared" si="7"/>
        <v>1.9318811419240078E-2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1078800</v>
      </c>
      <c r="D21" s="149">
        <f>IF(Inputs!D33="","",Inputs!D33)</f>
        <v>545900</v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1281180</v>
      </c>
      <c r="D22" s="283">
        <f t="shared" ref="D22:M22" si="8">IF(D6="","",D14-MAX(D16,0)-MAX(D17,0)-ABS(MAX(D21,0)-MAX(D19,0)))</f>
        <v>-184573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3.3607635001605907E-2</v>
      </c>
      <c r="D23" s="148">
        <f t="shared" si="9"/>
        <v>-4.8988793461486524E-3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960885</v>
      </c>
      <c r="D24" s="282">
        <f>IF(D6="","",D22*(1-Fin_Analysis!$I$84))</f>
        <v>-138429.75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 t="str">
        <f>IF(D24="","",IF(ABS(C24+D24)=ABS(C24)+ABS(D24),IF(C24&lt;0,-1,1)*(C24-D24)/D24,"Turn"))</f>
        <v>Turn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0.69530102386843873</v>
      </c>
      <c r="D40" s="156">
        <f t="shared" si="34"/>
        <v>0.71023846045174943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0.25685454836897598</v>
      </c>
      <c r="D41" s="151">
        <f t="shared" si="35"/>
        <v>0.24516106063707416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2.882077182385151E-2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2.0677989446499247E-3</v>
      </c>
      <c r="D43" s="151">
        <f t="shared" si="37"/>
        <v>2.1419497709487543E-3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9.6644881579416319E-4</v>
      </c>
      <c r="D45" s="151">
        <f t="shared" si="39"/>
        <v>2.0169596444574299E-2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4.4810180002141216E-2</v>
      </c>
      <c r="D46" s="289">
        <f t="shared" si="40"/>
        <v>-6.5318391281982031E-3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-1.9819763418893539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4.6145740645342576E-2</v>
      </c>
      <c r="D55" s="151">
        <f t="shared" si="47"/>
        <v>-0.32792445265558884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280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28591271</v>
      </c>
      <c r="D74" s="103"/>
      <c r="E74" s="262">
        <f>Inputs!E91</f>
        <v>28591271</v>
      </c>
      <c r="F74" s="103"/>
      <c r="H74" s="262">
        <f>Inputs!F91</f>
        <v>28591271</v>
      </c>
      <c r="I74" s="103"/>
      <c r="K74" s="75"/>
    </row>
    <row r="75" spans="1:11" ht="15" customHeight="1" x14ac:dyDescent="0.35">
      <c r="B75" s="105" t="s">
        <v>97</v>
      </c>
      <c r="C75" s="102">
        <f>Data!C8</f>
        <v>19879540</v>
      </c>
      <c r="D75" s="106">
        <f>C75/$C$74</f>
        <v>0.69530102386843873</v>
      </c>
      <c r="E75" s="262">
        <f>Inputs!E92</f>
        <v>19879540</v>
      </c>
      <c r="F75" s="217">
        <f>E75/E74</f>
        <v>0.69530102386843873</v>
      </c>
      <c r="H75" s="262">
        <f>Inputs!F92</f>
        <v>19879540</v>
      </c>
      <c r="I75" s="217">
        <f>H75/$H$74</f>
        <v>0.69530102386843873</v>
      </c>
      <c r="K75" s="75"/>
    </row>
    <row r="76" spans="1:11" ht="15" customHeight="1" x14ac:dyDescent="0.35">
      <c r="B76" s="12" t="s">
        <v>87</v>
      </c>
      <c r="C76" s="150">
        <f>C74-C75</f>
        <v>8711731</v>
      </c>
      <c r="D76" s="218"/>
      <c r="E76" s="219">
        <f>E74-E75</f>
        <v>8711731</v>
      </c>
      <c r="F76" s="218"/>
      <c r="H76" s="219">
        <f>H74-H75</f>
        <v>8711731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7343798</v>
      </c>
      <c r="D77" s="106">
        <f>C77/$C$74</f>
        <v>0.25685454836897598</v>
      </c>
      <c r="E77" s="262">
        <f>Inputs!E93</f>
        <v>7343798</v>
      </c>
      <c r="F77" s="217">
        <f>E77/E74</f>
        <v>0.25685454836897598</v>
      </c>
      <c r="H77" s="262">
        <f>Inputs!F93</f>
        <v>7343798</v>
      </c>
      <c r="I77" s="217">
        <f>H77/$H$74</f>
        <v>0.25685454836897598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1367933</v>
      </c>
      <c r="D79" s="223">
        <f>C79/C74</f>
        <v>4.7844427762585302E-2</v>
      </c>
      <c r="E79" s="224">
        <f>E76-E77-E78</f>
        <v>1367933</v>
      </c>
      <c r="F79" s="223">
        <f>E79/E74</f>
        <v>4.7844427762585302E-2</v>
      </c>
      <c r="G79" s="225"/>
      <c r="H79" s="224">
        <f>H76-H77-H78</f>
        <v>1367933</v>
      </c>
      <c r="I79" s="223">
        <f>H79/H74</f>
        <v>4.7844427762585302E-2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59121</v>
      </c>
      <c r="D81" s="106">
        <f>C81/$C$74</f>
        <v>2.0677989446499247E-3</v>
      </c>
      <c r="E81" s="220">
        <f>E74*F81</f>
        <v>59121</v>
      </c>
      <c r="F81" s="217">
        <f>I81</f>
        <v>2.0677989446499247E-3</v>
      </c>
      <c r="H81" s="262">
        <f>Inputs!F94</f>
        <v>59121</v>
      </c>
      <c r="I81" s="217">
        <f>H81/$H$74</f>
        <v>2.0677989446499247E-3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27632</v>
      </c>
      <c r="D82" s="106">
        <f>C82/$C$74</f>
        <v>9.6644881579416319E-4</v>
      </c>
      <c r="E82" s="262">
        <f>Inputs!E95</f>
        <v>27632</v>
      </c>
      <c r="F82" s="217">
        <f>E82/E74</f>
        <v>9.6644881579416319E-4</v>
      </c>
      <c r="H82" s="262">
        <f>Inputs!F95</f>
        <v>27632</v>
      </c>
      <c r="I82" s="217">
        <f>H82/$H$74</f>
        <v>9.6644881579416319E-4</v>
      </c>
      <c r="K82" s="75"/>
    </row>
    <row r="83" spans="1:11" ht="15" customHeight="1" thickBot="1" x14ac:dyDescent="0.4">
      <c r="B83" s="227" t="s">
        <v>115</v>
      </c>
      <c r="C83" s="228">
        <f>C79-C81-C82-C80</f>
        <v>1281180</v>
      </c>
      <c r="D83" s="229">
        <f>C83/$C$74</f>
        <v>4.4810180002141216E-2</v>
      </c>
      <c r="E83" s="230">
        <f>E79-E81-E82-E80</f>
        <v>1281180</v>
      </c>
      <c r="F83" s="229">
        <f>E83/E74</f>
        <v>4.4810180002141216E-2</v>
      </c>
      <c r="H83" s="230">
        <f>H79-H81-H82-H80</f>
        <v>1281180</v>
      </c>
      <c r="I83" s="229">
        <f>H83/$H$74</f>
        <v>4.4810180002141216E-2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960885</v>
      </c>
      <c r="D85" s="223">
        <f>C85/$C$74</f>
        <v>3.3607635001605907E-2</v>
      </c>
      <c r="E85" s="235">
        <f>E83*(1-F84)</f>
        <v>960885</v>
      </c>
      <c r="F85" s="223">
        <f>E85/E74</f>
        <v>3.3607635001605907E-2</v>
      </c>
      <c r="G85" s="225"/>
      <c r="H85" s="235">
        <f>H83*(1-I84)</f>
        <v>960885</v>
      </c>
      <c r="I85" s="223">
        <f>H85/$H$74</f>
        <v>3.3607635001605907E-2</v>
      </c>
      <c r="K85" s="75"/>
    </row>
    <row r="86" spans="1:11" ht="15" customHeight="1" x14ac:dyDescent="0.35">
      <c r="B86" s="3" t="s">
        <v>145</v>
      </c>
      <c r="C86" s="236">
        <f>C85*Data!C4/Common_Shares</f>
        <v>0.22246137946266717</v>
      </c>
      <c r="D86" s="103"/>
      <c r="E86" s="237">
        <f>E85*Data!C4/Common_Shares</f>
        <v>0.22246137946266717</v>
      </c>
      <c r="F86" s="103"/>
      <c r="H86" s="237">
        <f>H85*Data!C4/Common_Shares</f>
        <v>0.22246137946266717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2.9435634186479362E-2</v>
      </c>
      <c r="D87" s="103"/>
      <c r="E87" s="239">
        <f>E86*Exchange_Rate/Dashboard!G3</f>
        <v>2.9435634186479362E-2</v>
      </c>
      <c r="F87" s="103"/>
      <c r="H87" s="239">
        <f>H86*Exchange_Rate/Dashboard!G3</f>
        <v>2.9435634186479362E-2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0.42449999999999999</v>
      </c>
      <c r="D88" s="241">
        <f>C88/C86</f>
        <v>1.9081963845829624</v>
      </c>
      <c r="E88" s="261">
        <f>Inputs!E98</f>
        <v>0.42449999999999999</v>
      </c>
      <c r="F88" s="241">
        <f>E88/E86</f>
        <v>1.9081963845829624</v>
      </c>
      <c r="H88" s="261">
        <f>Inputs!F98</f>
        <v>0.42449999999999999</v>
      </c>
      <c r="I88" s="241">
        <f>H88/H86</f>
        <v>1.9081963845829624</v>
      </c>
      <c r="K88" s="75"/>
    </row>
    <row r="89" spans="1:11" ht="15" customHeight="1" x14ac:dyDescent="0.35">
      <c r="B89" s="3" t="s">
        <v>195</v>
      </c>
      <c r="C89" s="238">
        <f>C88*Exchange_Rate/Dashboard!G3</f>
        <v>5.6168970732546571E-2</v>
      </c>
      <c r="D89" s="103"/>
      <c r="E89" s="238">
        <f>E88*Exchange_Rate/Dashboard!G3</f>
        <v>5.6168970732546571E-2</v>
      </c>
      <c r="F89" s="103"/>
      <c r="H89" s="238">
        <f>H88*Exchange_Rate/Dashboard!G3</f>
        <v>5.6168970732546571E-2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CN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4</v>
      </c>
      <c r="E93" s="3" t="s">
        <v>184</v>
      </c>
      <c r="F93" s="243">
        <f>FV(E87,D93,0,-(E86/(C93-D94)))*Exchange_Rate</f>
        <v>4.3930976887873276</v>
      </c>
      <c r="H93" s="3" t="s">
        <v>184</v>
      </c>
      <c r="I93" s="243">
        <f>FV(H87,D93,0,-(H86/(C93-D94)))*Exchange_Rate</f>
        <v>4.3930976887873276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9.2881828507055584</v>
      </c>
      <c r="H94" s="3" t="s">
        <v>185</v>
      </c>
      <c r="I94" s="243">
        <f>FV(H89,D93,0,-(H88/(C93-D94)))*Exchange_Rate</f>
        <v>9.2881828507055584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10849164.325456545</v>
      </c>
      <c r="D97" s="250"/>
      <c r="E97" s="251">
        <f>PV(C94,D93,0,-F93)</f>
        <v>2.5117678617714083</v>
      </c>
      <c r="F97" s="250"/>
      <c r="H97" s="251">
        <f>PV(C94,D93,0,-I93)</f>
        <v>2.5117678617714083</v>
      </c>
      <c r="I97" s="251">
        <f>PV(C93,D93,0,-I93)</f>
        <v>3.2230851251586468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2.1350026825056969</v>
      </c>
      <c r="E100" s="257">
        <f>MAX(E97+H98+E99,0)</f>
        <v>2.5117678617714083</v>
      </c>
      <c r="F100" s="257">
        <f>(E100+H100)/2</f>
        <v>2.5117678617714083</v>
      </c>
      <c r="H100" s="257">
        <f>MAX(H97+H98+H99,0)</f>
        <v>2.5117678617714083</v>
      </c>
      <c r="I100" s="257">
        <f>MAX(I97+H98+H99,0)</f>
        <v>3.2230851251586468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4.5139663869695879</v>
      </c>
      <c r="E103" s="251">
        <f>PV(C94,D93,0,-F94)</f>
        <v>5.3105486905524559</v>
      </c>
      <c r="F103" s="257">
        <f>(E103+H103)/2</f>
        <v>5.3105486905524559</v>
      </c>
      <c r="H103" s="251">
        <f>PV(C94,D93,0,-I94)</f>
        <v>5.3105486905524559</v>
      </c>
      <c r="I103" s="257">
        <f>PV(C93,D93,0,-I94)</f>
        <v>6.8144635304311736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3.3244845347376426</v>
      </c>
      <c r="E106" s="251">
        <f>(E100+E103)/2</f>
        <v>3.9111582761619319</v>
      </c>
      <c r="F106" s="257">
        <f>(F100+F103)/2</f>
        <v>3.9111582761619319</v>
      </c>
      <c r="H106" s="251">
        <f>(H100+H103)/2</f>
        <v>3.9111582761619319</v>
      </c>
      <c r="I106" s="251">
        <f>(I100+I103)/2</f>
        <v>5.01877432779491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