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2674C72-BBAC-4C65-B91D-F174BD21606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27" i="4"/>
  <c r="D27" i="4"/>
  <c r="C27" i="4"/>
  <c r="G2" i="1"/>
  <c r="F96" i="4" l="1"/>
  <c r="E92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<sst xmlns="http://schemas.openxmlformats.org/spreadsheetml/2006/main" count="403" uniqueCount="287">
  <si>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</si>
  <si>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</si>
  <si>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</si>
  <si>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</si>
  <si>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</si>
  <si>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</si>
  <si>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</si>
  <si>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</si>
  <si>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</si>
  <si>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</si>
  <si>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</si>
  <si>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</si>
  <si>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</si>
  <si>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</si>
  <si>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</si>
  <si>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</si>
  <si>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</si>
  <si>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</si>
  <si>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</si>
  <si>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</si>
  <si>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</si>
  <si>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</si>
  <si>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</si>
  <si>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</si>
  <si>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</si>
  <si>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</si>
  <si>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</si>
  <si>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</si>
  <si>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</si>
  <si>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</si>
  <si>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</si>
  <si>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</si>
  <si>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</si>
  <si>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</si>
  <si>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</si>
  <si>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</si>
  <si>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</si>
  <si>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</si>
  <si>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</si>
  <si>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</si>
  <si>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</si>
  <si>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</si>
  <si>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</si>
  <si>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</si>
  <si>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</si>
  <si>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</si>
  <si>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</si>
  <si>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</si>
  <si>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</si>
  <si>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</si>
  <si>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</si>
  <si>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</si>
  <si>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</si>
  <si>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</si>
  <si>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</si>
  <si>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</si>
  <si>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</si>
  <si>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</si>
  <si>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</si>
  <si>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</si>
  <si>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</si>
  <si>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</si>
  <si>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</si>
  <si>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</si>
  <si>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</si>
  <si>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</si>
  <si>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</si>
  <si>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</si>
  <si>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</si>
  <si>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</si>
  <si>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</si>
  <si>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</si>
  <si>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</si>
  <si>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</si>
  <si>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</si>
  <si>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</si>
  <si>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</si>
  <si>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</si>
  <si>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</si>
  <si>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</si>
  <si>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</si>
  <si>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</si>
  <si>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</si>
  <si>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</si>
  <si>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</si>
  <si>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</si>
  <si>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</si>
  <si>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</si>
  <si>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</si>
  <si>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</si>
  <si>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</si>
  <si>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</si>
  <si>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</si>
  <si>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</si>
  <si>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</si>
  <si>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</si>
  <si>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</si>
  <si>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</si>
  <si>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</si>
  <si>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</si>
  <si>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</si>
  <si>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</si>
  <si>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</si>
  <si>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</si>
  <si>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</si>
  <si>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</si>
  <si>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</si>
  <si>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</si>
  <si>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</si>
  <si>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</si>
  <si>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</si>
  <si>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</si>
  <si>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</si>
  <si>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</si>
  <si>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</si>
  <si>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</si>
  <si>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</si>
  <si>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</si>
  <si>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</si>
  <si>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</si>
  <si>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</si>
  <si>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</si>
  <si>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</si>
  <si>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</si>
  <si>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</si>
  <si>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</si>
  <si>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</si>
  <si>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</si>
  <si>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</si>
  <si>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</si>
  <si>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</si>
  <si>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</si>
  <si>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</si>
  <si>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</si>
  <si>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</si>
  <si>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</si>
  <si>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</si>
  <si>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</si>
  <si>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</si>
  <si>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</si>
  <si>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</si>
  <si>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</si>
  <si>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</si>
  <si>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</si>
  <si>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</si>
  <si>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</si>
  <si>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</si>
  <si>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</si>
  <si>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</si>
  <si>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</si>
  <si>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</si>
  <si>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</si>
  <si>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</si>
  <si>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</si>
  <si>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</si>
  <si>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</si>
  <si>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</si>
  <si>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</si>
  <si>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</si>
  <si>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</si>
  <si>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</si>
  <si>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</si>
  <si>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</si>
  <si>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</si>
  <si>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</si>
  <si>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</si>
  <si>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</si>
  <si>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</si>
  <si>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</si>
  <si>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</si>
  <si>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</si>
  <si>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</si>
  <si>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</si>
  <si>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</si>
  <si>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</si>
  <si>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</si>
  <si>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</si>
  <si>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</si>
  <si>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</si>
  <si>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</si>
  <si>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</si>
  <si>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</si>
  <si>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</si>
  <si>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</si>
  <si>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</si>
  <si>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</si>
  <si>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</si>
  <si>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</si>
  <si>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</si>
  <si>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</si>
  <si>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</si>
  <si>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</si>
  <si>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</si>
  <si>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</si>
  <si>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</si>
  <si>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</si>
  <si>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</si>
  <si>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</si>
  <si>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</si>
  <si>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</si>
  <si>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</si>
  <si>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</si>
  <si>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</si>
  <si>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</si>
  <si>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</si>
  <si>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</si>
  <si>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</si>
  <si>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</si>
  <si>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</si>
  <si>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</si>
  <si>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</si>
  <si>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</si>
  <si>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</si>
  <si>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</si>
  <si>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</si>
  <si>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</si>
  <si>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</si>
  <si>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</si>
  <si>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</si>
  <si>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</si>
  <si>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</si>
  <si>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</si>
  <si>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</si>
  <si>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</si>
  <si>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</si>
  <si>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</si>
  <si>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</si>
  <si>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</si>
  <si>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</si>
  <si>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</si>
  <si>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</si>
  <si>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</si>
  <si>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</si>
  <si>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</si>
  <si>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</si>
  <si>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</si>
  <si>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</si>
  <si>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</si>
  <si>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</si>
  <si>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</si>
  <si>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</si>
  <si>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</si>
  <si>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</si>
  <si>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</si>
  <si>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</si>
  <si>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</si>
  <si>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</si>
  <si>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</si>
  <si>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</si>
  <si>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</si>
  <si>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</si>
  <si>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</si>
  <si>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</si>
  <si>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</si>
  <si>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</si>
  <si>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</si>
  <si>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</si>
  <si>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</si>
  <si>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</si>
  <si>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</si>
  <si>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</si>
  <si>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</si>
  <si>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</si>
  <si>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</si>
  <si>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</si>
  <si>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</si>
  <si>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</si>
  <si>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</si>
  <si>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</si>
  <si>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</si>
  <si>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</si>
  <si>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</si>
  <si>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</si>
  <si>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</si>
  <si>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</si>
  <si>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</si>
  <si>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</si>
  <si>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</si>
  <si>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</si>
  <si>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</si>
  <si>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</si>
  <si>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</si>
  <si>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</si>
  <si>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0300.HK</t>
  </si>
  <si>
    <t>美的集團</t>
  </si>
  <si>
    <t xml:space="preserve">Superior Cycl. 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</si>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</sst>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283</v>
      </c>
      <c r="D4" s="66"/>
    </row>
    <row r="5" spans="1:5" x14ac:dyDescent="0.35">
      <c r="B5" s="46" t="s">
        <v>170</v>
      </c>
      <c r="C5" s="67" t="s">
        <v>284</v>
      </c>
    </row>
    <row r="6" spans="1:5" x14ac:dyDescent="0.35">
      <c r="B6" s="46" t="s">
        <v>271</v>
      </c>
      <c r="C6" s="68">
        <v>45625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285</v>
      </c>
    </row>
    <row r="9" spans="1:5" x14ac:dyDescent="0.35">
      <c r="B9" s="39" t="s">
        <v>191</v>
      </c>
      <c r="C9" s="124" t="s">
        <v>277</v>
      </c>
    </row>
    <row r="10" spans="1:5" x14ac:dyDescent="0.35">
      <c r="B10" s="39" t="s">
        <v>192</v>
      </c>
      <c r="C10" s="70">
        <v>7655673083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278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279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373709804</v>
      </c>
      <c r="D25" s="80">
        <v>345708706</v>
      </c>
      <c r="E25" s="80">
        <v>343360825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275320160</v>
      </c>
      <c r="D26" s="82">
        <v>262321797</v>
      </c>
      <c r="E26" s="82">
        <v>266450882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34880794+13975965</f>
        <v>48856759</v>
      </c>
      <c r="D27" s="82">
        <f>28715439+12023970</f>
        <v>40739409</v>
      </c>
      <c r="E27" s="82">
        <f>28646188+10742475</f>
        <v>39388663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14586346</v>
      </c>
      <c r="D28" s="82">
        <v>12667099</v>
      </c>
      <c r="E28" s="82">
        <v>12014891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3372815</v>
      </c>
      <c r="D29" s="82">
        <v>1902422</v>
      </c>
      <c r="E29" s="82">
        <v>1299556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25417</v>
      </c>
      <c r="D30" s="82">
        <v>258783</v>
      </c>
      <c r="E30" s="82">
        <v>444448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219</v>
      </c>
      <c r="C87" s="112" t="s">
        <v>280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373709804</v>
      </c>
      <c r="D91" s="103"/>
      <c r="E91" s="104">
        <f>C91</f>
        <v>373709804</v>
      </c>
      <c r="F91" s="104">
        <f>C91</f>
        <v>373709804</v>
      </c>
    </row>
    <row r="92" spans="2:8" x14ac:dyDescent="0.35">
      <c r="B92" s="105" t="s">
        <v>97</v>
      </c>
      <c r="C92" s="102">
        <f>C26</f>
        <v>275320160</v>
      </c>
      <c r="D92" s="106">
        <f>C92/C91</f>
        <v>0.73672180139004328</v>
      </c>
      <c r="E92" s="107">
        <f>E91*D92</f>
        <v>275320160</v>
      </c>
      <c r="F92" s="107">
        <f>F91*D92</f>
        <v>275320160</v>
      </c>
    </row>
    <row r="93" spans="2:8" x14ac:dyDescent="0.35">
      <c r="B93" s="105" t="s">
        <v>218</v>
      </c>
      <c r="C93" s="102">
        <f>C27+C28</f>
        <v>63443105</v>
      </c>
      <c r="D93" s="106">
        <f>C93/C91</f>
        <v>0.16976569605864555</v>
      </c>
      <c r="E93" s="107">
        <f>E91*D93</f>
        <v>63443105</v>
      </c>
      <c r="F93" s="107">
        <f>F91*D93</f>
        <v>63443105</v>
      </c>
    </row>
    <row r="94" spans="2:8" x14ac:dyDescent="0.35">
      <c r="B94" s="105" t="s">
        <v>224</v>
      </c>
      <c r="C94" s="102">
        <f>C29</f>
        <v>3372815</v>
      </c>
      <c r="D94" s="106">
        <f>C94/C91</f>
        <v>9.0252248239117653E-3</v>
      </c>
      <c r="E94" s="108"/>
      <c r="F94" s="107">
        <f>F91*D94</f>
        <v>3372815.0000000005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33889.333333333336</v>
      </c>
      <c r="D97" s="106">
        <f>C97/C91</f>
        <v>9.0683554379893485E-5</v>
      </c>
      <c r="E97" s="108"/>
      <c r="F97" s="107">
        <f>F91*D97</f>
        <v>33889.333333333336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0300.HK : 美的集團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0300.HK</v>
      </c>
      <c r="D3" s="312"/>
      <c r="E3" s="3"/>
      <c r="F3" s="9" t="s">
        <v>1</v>
      </c>
      <c r="G3" s="10">
        <v>76.099999999999994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美的集團</v>
      </c>
      <c r="D4" s="314"/>
      <c r="E4" s="3"/>
      <c r="F4" s="9" t="s">
        <v>2</v>
      </c>
      <c r="G4" s="317">
        <f>Inputs!C10</f>
        <v>7655673083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45625</v>
      </c>
      <c r="D5" s="316"/>
      <c r="E5" s="16"/>
      <c r="F5" s="12" t="s">
        <v>91</v>
      </c>
      <c r="G5" s="320">
        <f>G3*G4/1000000</f>
        <v>582596.72161629994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9.3421818996931277E-2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9.0252248239117653E-3</v>
      </c>
      <c r="F24" s="39" t="s">
        <v>226</v>
      </c>
      <c r="G24" s="43">
        <f>G3/(Fin_Analysis!H86*G7)</f>
        <v>23.151148502332628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31.271253926438288</v>
      </c>
      <c r="D29" s="54">
        <f>G29*(1+G20)</f>
        <v>54.289580678949442</v>
      </c>
      <c r="E29" s="3"/>
      <c r="F29" s="55">
        <f>IF(Fin_Analysis!C108="Profit",Fin_Analysis!F100,IF(Fin_Analysis!C108="Dividend",Fin_Analysis!F103,Fin_Analysis!F106))</f>
        <v>36.789710501692106</v>
      </c>
      <c r="G29" s="319">
        <f>IF(Fin_Analysis!C108="Profit",Fin_Analysis!I100,IF(Fin_Analysis!C108="Dividend",Fin_Analysis!I103,Fin_Analysis!I106))</f>
        <v>47.208331025173429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34912649.666666664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373709804</v>
      </c>
      <c r="D6" s="147">
        <f>IF(Inputs!D25="","",Inputs!D25)</f>
        <v>345708706</v>
      </c>
      <c r="E6" s="147">
        <f>IF(Inputs!E25="","",Inputs!E25)</f>
        <v>343360825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8.099621882244401E-2</v>
      </c>
      <c r="D7" s="148">
        <f t="shared" si="1"/>
        <v>6.8379408163410371E-3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275320160</v>
      </c>
      <c r="D8" s="149">
        <f>IF(Inputs!D26="","",Inputs!D26)</f>
        <v>262321797</v>
      </c>
      <c r="E8" s="149">
        <f>IF(Inputs!E26="","",Inputs!E26)</f>
        <v>266450882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98389644</v>
      </c>
      <c r="D9" s="279">
        <f t="shared" si="2"/>
        <v>83386909</v>
      </c>
      <c r="E9" s="279">
        <f t="shared" si="2"/>
        <v>76909943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48856759</v>
      </c>
      <c r="D10" s="149">
        <f>IF(Inputs!D27="","",Inputs!D27)</f>
        <v>40739409</v>
      </c>
      <c r="E10" s="149">
        <f>IF(Inputs!E27="","",Inputs!E27)</f>
        <v>39388663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14586346</v>
      </c>
      <c r="D11" s="149">
        <f>IF(Inputs!D28="","",Inputs!D28)</f>
        <v>12667099</v>
      </c>
      <c r="E11" s="149">
        <f>IF(Inputs!E28="","",Inputs!E28)</f>
        <v>12014891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33889.333333333336</v>
      </c>
      <c r="D12" s="149">
        <f>IF(Inputs!D30="","",MAX(Inputs!D30,0)/(1-Fin_Analysis!$I$84))</f>
        <v>345044</v>
      </c>
      <c r="E12" s="149">
        <f>IF(Inputs!E30="","",MAX(Inputs!E30,0)/(1-Fin_Analysis!$I$84))</f>
        <v>592597.33333333337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9.3421818996931277E-2</v>
      </c>
      <c r="D13" s="300">
        <f t="shared" si="3"/>
        <v>8.5723490573592909E-2</v>
      </c>
      <c r="E13" s="300">
        <f t="shared" si="3"/>
        <v>7.2558631773635404E-2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34912649.666666664</v>
      </c>
      <c r="D14" s="302">
        <f t="shared" ref="D14:M14" si="4">IF(D6="","",D9-D10-MAX(D11,0)-MAX(D12,0))</f>
        <v>29635357</v>
      </c>
      <c r="E14" s="302">
        <f t="shared" si="4"/>
        <v>24913791.666666668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0.17807420597857701</v>
      </c>
      <c r="D15" s="304">
        <f t="shared" ref="D15:M15" si="5">IF(E14="","",IF(ABS(D14+E14)=ABS(D14)+ABS(E14),IF(D14&lt;0,-1,1)*(D14-E14)/E14,"Turn"))</f>
        <v>0.18951612811511689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3372815</v>
      </c>
      <c r="D17" s="149">
        <f>IF(Inputs!D29="","",Inputs!D29)</f>
        <v>1902422</v>
      </c>
      <c r="E17" s="149">
        <f>IF(Inputs!E29="","",Inputs!E29)</f>
        <v>1299556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31539834.666666664</v>
      </c>
      <c r="D22" s="283">
        <f t="shared" ref="D22:M22" si="8">IF(D6="","",D14-MAX(D16,0)-MAX(D17,0)-ABS(MAX(D21,0)-MAX(D19,0)))</f>
        <v>27732935</v>
      </c>
      <c r="E22" s="283">
        <f t="shared" si="8"/>
        <v>23614235.666666668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6.3297445629764637E-2</v>
      </c>
      <c r="D23" s="148">
        <f t="shared" si="9"/>
        <v>6.0165396152910305E-2</v>
      </c>
      <c r="E23" s="148">
        <f t="shared" si="9"/>
        <v>5.1580365203281416E-2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23654876</v>
      </c>
      <c r="D24" s="282">
        <f>IF(D6="","",D22*(1-Fin_Analysis!$I$84))</f>
        <v>20799701.25</v>
      </c>
      <c r="E24" s="282">
        <f>IF(E6="","",E22*(1-Fin_Analysis!$I$84))</f>
        <v>17710676.75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0.13726998843312713</v>
      </c>
      <c r="D25" s="152">
        <f t="shared" ref="D25:M25" si="10">IF(E24="","",IF(ABS(D24+E24)=ABS(D24)+ABS(E24),IF(D24&lt;0,-1,1)*(D24-E24)/E24,"Turn"))</f>
        <v>0.17441594940746688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0.73672180139004328</v>
      </c>
      <c r="D40" s="156">
        <f t="shared" si="34"/>
        <v>0.75879430412724402</v>
      </c>
      <c r="E40" s="156">
        <f t="shared" si="34"/>
        <v>0.77600839292018831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0.16976569605864555</v>
      </c>
      <c r="D41" s="151">
        <f t="shared" si="35"/>
        <v>0.15448412803350112</v>
      </c>
      <c r="E41" s="151">
        <f t="shared" si="35"/>
        <v>0.1497071018512377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9.0252248239117653E-3</v>
      </c>
      <c r="D43" s="151">
        <f t="shared" si="37"/>
        <v>5.5029623697124943E-3</v>
      </c>
      <c r="E43" s="151">
        <f t="shared" si="37"/>
        <v>3.7848115025935179E-3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9.0683554379893485E-5</v>
      </c>
      <c r="D44" s="151">
        <f t="shared" si="38"/>
        <v>9.9807726566191824E-4</v>
      </c>
      <c r="E44" s="151">
        <f t="shared" si="38"/>
        <v>1.7258734549386446E-3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8.4396594173019507E-2</v>
      </c>
      <c r="D46" s="289">
        <f t="shared" si="40"/>
        <v>8.0220528203880412E-2</v>
      </c>
      <c r="E46" s="289">
        <f t="shared" si="40"/>
        <v>6.8773820271041897E-2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0.10693825873363277</v>
      </c>
      <c r="D55" s="151">
        <f t="shared" si="47"/>
        <v>6.8597932386168292E-2</v>
      </c>
      <c r="E55" s="151">
        <f t="shared" si="47"/>
        <v>5.5032736114953934E-2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373709804</v>
      </c>
      <c r="D74" s="103"/>
      <c r="E74" s="262">
        <f>Inputs!E91</f>
        <v>373709804</v>
      </c>
      <c r="F74" s="103"/>
      <c r="H74" s="262">
        <f>Inputs!F91</f>
        <v>373709804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275320160</v>
      </c>
      <c r="D75" s="106">
        <f>C75/$C$74</f>
        <v>0.73672180139004328</v>
      </c>
      <c r="E75" s="262">
        <f>Inputs!E92</f>
        <v>275320160</v>
      </c>
      <c r="F75" s="217">
        <f>E75/E74</f>
        <v>0.73672180139004328</v>
      </c>
      <c r="H75" s="262">
        <f>Inputs!F92</f>
        <v>275320160</v>
      </c>
      <c r="I75" s="217">
        <f>H75/$H$74</f>
        <v>0.73672180139004328</v>
      </c>
      <c r="K75" s="75"/>
    </row>
    <row r="76" spans="1:11" ht="15" customHeight="1" x14ac:dyDescent="0.35">
      <c r="B76" s="12" t="s">
        <v>87</v>
      </c>
      <c r="C76" s="150">
        <f>C74-C75</f>
        <v>98389644</v>
      </c>
      <c r="D76" s="218"/>
      <c r="E76" s="219">
        <f>E74-E75</f>
        <v>98389644</v>
      </c>
      <c r="F76" s="218"/>
      <c r="H76" s="219">
        <f>H74-H75</f>
        <v>98389644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63443105</v>
      </c>
      <c r="D77" s="106">
        <f>C77/$C$74</f>
        <v>0.16976569605864555</v>
      </c>
      <c r="E77" s="262">
        <f>Inputs!E93</f>
        <v>63443105</v>
      </c>
      <c r="F77" s="217">
        <f>E77/E74</f>
        <v>0.16976569605864555</v>
      </c>
      <c r="H77" s="262">
        <f>Inputs!F93</f>
        <v>63443105</v>
      </c>
      <c r="I77" s="217">
        <f>H77/$H$74</f>
        <v>0.16976569605864555</v>
      </c>
      <c r="K77" s="75"/>
    </row>
    <row r="78" spans="1:11" ht="15" customHeight="1" x14ac:dyDescent="0.35">
      <c r="B78" s="98" t="s">
        <v>152</v>
      </c>
      <c r="C78" s="102">
        <f>MAX(Data!C12,0)</f>
        <v>33889.333333333336</v>
      </c>
      <c r="D78" s="106">
        <f>C78/$C$74</f>
        <v>9.0683554379893485E-5</v>
      </c>
      <c r="E78" s="220">
        <f>E74*F78</f>
        <v>33889.333333333336</v>
      </c>
      <c r="F78" s="217">
        <f>I78</f>
        <v>9.0683554379893485E-5</v>
      </c>
      <c r="H78" s="262">
        <f>Inputs!F97</f>
        <v>33889.333333333336</v>
      </c>
      <c r="I78" s="217">
        <f>H78/$H$74</f>
        <v>9.0683554379893485E-5</v>
      </c>
      <c r="K78" s="75"/>
    </row>
    <row r="79" spans="1:11" ht="15" customHeight="1" x14ac:dyDescent="0.35">
      <c r="B79" s="221" t="s">
        <v>205</v>
      </c>
      <c r="C79" s="222">
        <f>C76-C77-C78</f>
        <v>34912649.666666664</v>
      </c>
      <c r="D79" s="223">
        <f>C79/C74</f>
        <v>9.3421818996931277E-2</v>
      </c>
      <c r="E79" s="224">
        <f>E76-E77-E78</f>
        <v>34912649.666666664</v>
      </c>
      <c r="F79" s="223">
        <f>E79/E74</f>
        <v>9.3421818996931277E-2</v>
      </c>
      <c r="G79" s="225"/>
      <c r="H79" s="224">
        <f>H76-H77-H78</f>
        <v>34912649.666666664</v>
      </c>
      <c r="I79" s="223">
        <f>H79/H74</f>
        <v>9.3421818996931277E-2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3372815</v>
      </c>
      <c r="D81" s="106">
        <f>C81/$C$74</f>
        <v>9.0252248239117653E-3</v>
      </c>
      <c r="E81" s="220">
        <f>E74*F81</f>
        <v>3372815.0000000005</v>
      </c>
      <c r="F81" s="217">
        <f>I81</f>
        <v>9.0252248239117653E-3</v>
      </c>
      <c r="H81" s="262">
        <f>Inputs!F94</f>
        <v>3372815.0000000005</v>
      </c>
      <c r="I81" s="217">
        <f>H81/$H$74</f>
        <v>9.0252248239117653E-3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31539834.666666664</v>
      </c>
      <c r="D83" s="229">
        <f>C83/$C$74</f>
        <v>8.4396594173019507E-2</v>
      </c>
      <c r="E83" s="230">
        <f>E79-E81-E82-E80</f>
        <v>31539834.666666664</v>
      </c>
      <c r="F83" s="229">
        <f>E83/E74</f>
        <v>8.4396594173019507E-2</v>
      </c>
      <c r="H83" s="230">
        <f>H79-H81-H82-H80</f>
        <v>31539834.666666664</v>
      </c>
      <c r="I83" s="229">
        <f>H83/$H$74</f>
        <v>8.4396594173019507E-2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23654876</v>
      </c>
      <c r="D85" s="223">
        <f>C85/$C$74</f>
        <v>6.3297445629764637E-2</v>
      </c>
      <c r="E85" s="235">
        <f>E83*(1-F84)</f>
        <v>23654876</v>
      </c>
      <c r="F85" s="223">
        <f>E85/E74</f>
        <v>6.3297445629764637E-2</v>
      </c>
      <c r="G85" s="225"/>
      <c r="H85" s="235">
        <f>H83*(1-I84)</f>
        <v>23654876</v>
      </c>
      <c r="I85" s="223">
        <f>H85/$H$74</f>
        <v>6.3297445629764637E-2</v>
      </c>
      <c r="K85" s="75"/>
    </row>
    <row r="86" spans="1:11" ht="15" customHeight="1" x14ac:dyDescent="0.35">
      <c r="B86" s="3" t="s">
        <v>145</v>
      </c>
      <c r="C86" s="236">
        <f>C85*Data!C4/Common_Shares</f>
        <v>3.0898492847777734</v>
      </c>
      <c r="D86" s="103"/>
      <c r="E86" s="237">
        <f>E85*Data!C4/Common_Shares</f>
        <v>3.0898492847777734</v>
      </c>
      <c r="F86" s="103"/>
      <c r="H86" s="237">
        <f>H85*Data!C4/Common_Shares</f>
        <v>3.0898492847777734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4.3194401344678147E-2</v>
      </c>
      <c r="D87" s="103"/>
      <c r="E87" s="239">
        <f>E86*Exchange_Rate/Dashboard!G3</f>
        <v>4.3194401344678147E-2</v>
      </c>
      <c r="F87" s="103"/>
      <c r="H87" s="239">
        <f>H86*Exchange_Rate/Dashboard!G3</f>
        <v>4.3194401344678147E-2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64.345433603150113</v>
      </c>
      <c r="H93" s="3" t="s">
        <v>184</v>
      </c>
      <c r="I93" s="243">
        <f>FV(H87,D93,0,-(H86/(C93-D94)))*Exchange_Rate</f>
        <v>64.345433603150113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281649996.41916668</v>
      </c>
      <c r="D97" s="250"/>
      <c r="E97" s="251">
        <f>PV(C94,D93,0,-F93)</f>
        <v>36.789710501692106</v>
      </c>
      <c r="F97" s="250"/>
      <c r="H97" s="251">
        <f>PV(C94,D93,0,-I93)</f>
        <v>36.789710501692106</v>
      </c>
      <c r="I97" s="251">
        <f>PV(C93,D93,0,-I93)</f>
        <v>47.208331025173429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31.271253926438288</v>
      </c>
      <c r="E100" s="257">
        <f>MAX(E97+H98+E99,0)</f>
        <v>36.789710501692106</v>
      </c>
      <c r="F100" s="257">
        <f>(E100+H100)/2</f>
        <v>36.789710501692106</v>
      </c>
      <c r="H100" s="257">
        <f>MAX(H97+H98+H99,0)</f>
        <v>36.789710501692106</v>
      </c>
      <c r="I100" s="257">
        <f>MAX(I97+H98+H99,0)</f>
        <v>47.208331025173429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15.635626963219144</v>
      </c>
      <c r="E106" s="251">
        <f>(E100+E103)/2</f>
        <v>18.394855250846053</v>
      </c>
      <c r="F106" s="257">
        <f>(F100+F103)/2</f>
        <v>18.394855250846053</v>
      </c>
      <c r="H106" s="251">
        <f>(H100+H103)/2</f>
        <v>18.394855250846053</v>
      </c>
      <c r="I106" s="251">
        <f>(I100+I103)/2</f>
        <v>23.604165512586714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