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B7445FE3-7A6A-400A-9053-8AA619C5DD27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5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H44" i="4"/>
  <c r="G44" i="4"/>
  <c r="F44" i="4"/>
  <c r="E44" i="4"/>
  <c r="D44" i="4"/>
  <c r="C44" i="4"/>
  <c r="D37" i="4"/>
  <c r="C37" i="4"/>
  <c r="F32" i="4"/>
  <c r="E32" i="4"/>
  <c r="D32" i="4"/>
  <c r="C32" i="4"/>
  <c r="F31" i="4"/>
  <c r="E31" i="4"/>
  <c r="D31" i="4"/>
  <c r="C31" i="4"/>
  <c r="G2" i="1"/>
  <c r="F96" i="4" l="1"/>
  <c r="E92" i="4"/>
  <c r="F97" i="4"/>
  <c r="D53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F34" i="2"/>
  <c r="F27" i="2" s="1"/>
  <c r="G34" i="2"/>
  <c r="H34" i="2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H27" i="2"/>
  <c r="G27" i="2"/>
  <c r="E27" i="2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E38" i="2" l="1"/>
  <c r="B93" i="3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7" i="2" s="1"/>
  <c r="C59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<sst xmlns="http://schemas.openxmlformats.org/spreadsheetml/2006/main" count="403" uniqueCount="286">
  <si>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</si>
  <si>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</si>
  <si>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</si>
  <si>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</si>
  <si>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</si>
  <si>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</si>
  <si>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</si>
  <si>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</si>
  <si>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</si>
  <si>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</si>
  <si>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</si>
  <si>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</si>
  <si>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</si>
  <si>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</si>
  <si>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</si>
  <si>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</si>
  <si>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</si>
  <si>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</si>
  <si>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</si>
  <si>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</si>
  <si>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</si>
  <si>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</si>
  <si>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</si>
  <si>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</si>
  <si>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</si>
  <si>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</si>
  <si>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</si>
  <si>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</si>
  <si>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</si>
  <si>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</si>
  <si>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</si>
  <si>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</si>
  <si>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</si>
  <si>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</si>
  <si>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</si>
  <si>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</si>
  <si>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</si>
  <si>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</si>
  <si>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</si>
  <si>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</si>
  <si>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</si>
  <si>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</si>
  <si>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</si>
  <si>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</si>
  <si>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</si>
  <si>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</si>
  <si>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</si>
  <si>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</si>
  <si>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</si>
  <si>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</si>
  <si>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</si>
  <si>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</si>
  <si>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</si>
  <si>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</si>
  <si>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</si>
  <si>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</si>
  <si>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</si>
  <si>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</si>
  <si>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</si>
  <si>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</si>
  <si>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</si>
  <si>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</si>
  <si>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</si>
  <si>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</si>
  <si>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</si>
  <si>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</si>
  <si>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</si>
  <si>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</si>
  <si>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</si>
  <si>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</si>
  <si>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</si>
  <si>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</si>
  <si>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</si>
  <si>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</si>
  <si>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</si>
  <si>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</si>
  <si>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</si>
  <si>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</si>
  <si>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</si>
  <si>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</si>
  <si>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</si>
  <si>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</si>
  <si>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</si>
  <si>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</si>
  <si>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</si>
  <si>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</si>
  <si>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</si>
  <si>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</si>
  <si>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</si>
  <si>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</si>
  <si>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</si>
  <si>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</si>
  <si>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</si>
  <si>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</si>
  <si>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</si>
  <si>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</si>
  <si>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</si>
  <si>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</si>
  <si>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</si>
  <si>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</si>
  <si>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</si>
  <si>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</si>
  <si>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</si>
  <si>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</si>
  <si>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</si>
  <si>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</si>
  <si>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</si>
  <si>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</si>
  <si>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</si>
  <si>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</si>
  <si>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</si>
  <si>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</si>
  <si>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</si>
  <si>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</si>
  <si>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</si>
  <si>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</si>
  <si>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</si>
  <si>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</si>
  <si>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</si>
  <si>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</si>
  <si>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</si>
  <si>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</si>
  <si>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</si>
  <si>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</si>
  <si>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</si>
  <si>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</si>
  <si>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</si>
  <si>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</si>
  <si>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</si>
  <si>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</si>
  <si>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</si>
  <si>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</si>
  <si>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</si>
  <si>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</si>
  <si>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</si>
  <si>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</si>
  <si>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</si>
  <si>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</si>
  <si>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</si>
  <si>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</si>
  <si>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</si>
  <si>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</si>
  <si>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</si>
  <si>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</si>
  <si>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</si>
  <si>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</si>
  <si>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</si>
  <si>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</si>
  <si>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</si>
  <si>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</si>
  <si>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</si>
  <si>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</si>
  <si>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</si>
  <si>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</si>
  <si>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</si>
  <si>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</si>
  <si>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</si>
  <si>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</si>
  <si>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</si>
  <si>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</si>
  <si>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</si>
  <si>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</si>
  <si>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</si>
  <si>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</si>
  <si>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</si>
  <si>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</si>
  <si>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</si>
  <si>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</si>
  <si>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</si>
  <si>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</si>
  <si>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</si>
  <si>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</si>
  <si>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</si>
  <si>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</si>
  <si>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</si>
  <si>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</si>
  <si>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</si>
  <si>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</si>
  <si>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</si>
  <si>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</si>
  <si>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</si>
  <si>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</si>
  <si>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</si>
  <si>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</si>
  <si>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</si>
  <si>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</si>
  <si>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</si>
  <si>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</si>
  <si>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</si>
  <si>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</si>
  <si>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</si>
  <si>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</si>
  <si>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</si>
  <si>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</si>
  <si>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</si>
  <si>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</si>
  <si>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</si>
  <si>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</si>
  <si>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</si>
  <si>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</si>
  <si>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</si>
  <si>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</si>
  <si>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</si>
  <si>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</si>
  <si>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</si>
  <si>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</si>
  <si>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</si>
  <si>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</si>
  <si>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</si>
  <si>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</si>
  <si>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</si>
  <si>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</si>
  <si>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</si>
  <si>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</si>
  <si>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</si>
  <si>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</si>
  <si>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</si>
  <si>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</si>
  <si>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</si>
  <si>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</si>
  <si>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</si>
  <si>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</si>
  <si>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</si>
  <si>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</si>
  <si>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</si>
  <si>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</si>
  <si>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</si>
  <si>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</si>
  <si>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</si>
  <si>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</si>
  <si>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</si>
  <si>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</si>
  <si>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</si>
  <si>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</si>
  <si>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</si>
  <si>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</si>
  <si>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</si>
  <si>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</si>
  <si>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</si>
  <si>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</si>
  <si>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</si>
  <si>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</si>
  <si>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</si>
  <si>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</si>
  <si>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</si>
  <si>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</si>
  <si>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</si>
  <si>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</si>
  <si>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</si>
  <si>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</si>
  <si>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</si>
  <si>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</si>
  <si>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</si>
  <si>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</si>
  <si>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</si>
  <si>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</si>
  <si>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</si>
  <si>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</si>
  <si>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</si>
  <si>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</si>
  <si>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</si>
  <si>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</si>
  <si>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</si>
  <si>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</si>
  <si>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</si>
  <si>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</si>
  <si>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</si>
  <si>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</si>
  <si>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</si>
  <si>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</si>
  <si>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</si>
  <si>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</si>
  <si>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</si>
  <si>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</si>
  <si>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</si>
  <si>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</si>
  <si>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</si>
  <si>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Unclear</t>
  </si>
  <si>
    <t>Profit</t>
  </si>
  <si>
    <t>Reinvest Nonop @</t>
    <phoneticPr fontId="3" type="noConversion"/>
  </si>
  <si>
    <t>PlaceHolder_5</t>
    <phoneticPr fontId="3" type="noConversion"/>
  </si>
  <si>
    <t>0303.HK</t>
  </si>
  <si>
    <t>VTECH</t>
  </si>
  <si>
    <t xml:space="preserve">Superior Cycl. </t>
  </si>
  <si>
    <t>C0007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</si>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</sst>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281</v>
      </c>
      <c r="D4" s="66"/>
    </row>
    <row r="5" spans="1:5" x14ac:dyDescent="0.35">
      <c r="B5" s="46" t="s">
        <v>170</v>
      </c>
      <c r="C5" s="67" t="s">
        <v>282</v>
      </c>
    </row>
    <row r="6" spans="1:5" x14ac:dyDescent="0.35">
      <c r="B6" s="46" t="s">
        <v>271</v>
      </c>
      <c r="C6" s="68">
        <v>45639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283</v>
      </c>
    </row>
    <row r="9" spans="1:5" x14ac:dyDescent="0.35">
      <c r="B9" s="39" t="s">
        <v>191</v>
      </c>
      <c r="C9" s="124" t="s">
        <v>284</v>
      </c>
    </row>
    <row r="10" spans="1:5" x14ac:dyDescent="0.35">
      <c r="B10" s="39" t="s">
        <v>192</v>
      </c>
      <c r="C10" s="70">
        <v>253069133</v>
      </c>
    </row>
    <row r="11" spans="1:5" x14ac:dyDescent="0.35">
      <c r="B11" s="39" t="s">
        <v>193</v>
      </c>
      <c r="C11" s="69" t="s">
        <v>285</v>
      </c>
    </row>
    <row r="12" spans="1:5" x14ac:dyDescent="0.35">
      <c r="B12" s="71" t="s">
        <v>9</v>
      </c>
      <c r="C12" s="72">
        <v>45382</v>
      </c>
    </row>
    <row r="13" spans="1:5" x14ac:dyDescent="0.35">
      <c r="B13" s="71" t="s">
        <v>10</v>
      </c>
      <c r="C13" s="73">
        <v>1000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223</v>
      </c>
      <c r="C15" s="122" t="s">
        <v>166</v>
      </c>
    </row>
    <row r="16" spans="1:5" x14ac:dyDescent="0.35">
      <c r="B16" s="74" t="s">
        <v>88</v>
      </c>
      <c r="C16" s="125">
        <v>0.23</v>
      </c>
      <c r="D16" s="75"/>
      <c r="E16" s="25" t="s">
        <v>254</v>
      </c>
    </row>
    <row r="17" spans="2:13" x14ac:dyDescent="0.35">
      <c r="B17" s="56" t="s">
        <v>198</v>
      </c>
      <c r="C17" s="126" t="s">
        <v>216</v>
      </c>
      <c r="D17" s="75"/>
    </row>
    <row r="18" spans="2:13" x14ac:dyDescent="0.35">
      <c r="B18" s="56" t="s">
        <v>211</v>
      </c>
      <c r="C18" s="126" t="s">
        <v>216</v>
      </c>
      <c r="D18" s="75"/>
    </row>
    <row r="19" spans="2:13" x14ac:dyDescent="0.35">
      <c r="B19" s="56" t="s">
        <v>212</v>
      </c>
      <c r="C19" s="126" t="s">
        <v>216</v>
      </c>
      <c r="D19" s="75"/>
    </row>
    <row r="20" spans="2:13" x14ac:dyDescent="0.35">
      <c r="B20" s="57" t="s">
        <v>201</v>
      </c>
      <c r="C20" s="126" t="s">
        <v>216</v>
      </c>
      <c r="D20" s="75"/>
    </row>
    <row r="21" spans="2:13" x14ac:dyDescent="0.35">
      <c r="B21" s="2" t="s">
        <v>204</v>
      </c>
      <c r="C21" s="126" t="s">
        <v>216</v>
      </c>
      <c r="D21" s="75"/>
    </row>
    <row r="22" spans="2:13" ht="69.75" x14ac:dyDescent="0.35">
      <c r="B22" s="59" t="s">
        <v>203</v>
      </c>
      <c r="C22" s="127" t="s">
        <v>277</v>
      </c>
      <c r="D22" s="75"/>
    </row>
    <row r="24" spans="2:13" x14ac:dyDescent="0.35">
      <c r="B24" s="76" t="s">
        <v>123</v>
      </c>
      <c r="C24" s="294">
        <f>C12</f>
        <v>45382</v>
      </c>
      <c r="D24" s="295">
        <f>EOMONTH(EDATE(C24,-12),0)</f>
        <v>45016</v>
      </c>
      <c r="E24" s="295">
        <f t="shared" ref="E24:M24" si="0">EOMONTH(EDATE(D24,-12),0)</f>
        <v>44651</v>
      </c>
      <c r="F24" s="295">
        <f t="shared" si="0"/>
        <v>44286</v>
      </c>
      <c r="G24" s="295">
        <f t="shared" si="0"/>
        <v>43921</v>
      </c>
      <c r="H24" s="295">
        <f t="shared" si="0"/>
        <v>43555</v>
      </c>
      <c r="I24" s="295">
        <f t="shared" si="0"/>
        <v>43190</v>
      </c>
      <c r="J24" s="295">
        <f t="shared" si="0"/>
        <v>42825</v>
      </c>
      <c r="K24" s="295">
        <f t="shared" si="0"/>
        <v>42460</v>
      </c>
      <c r="L24" s="295">
        <f t="shared" si="0"/>
        <v>42094</v>
      </c>
      <c r="M24" s="295">
        <f t="shared" si="0"/>
        <v>41729</v>
      </c>
    </row>
    <row r="25" spans="2:13" x14ac:dyDescent="0.35">
      <c r="B25" s="79" t="s">
        <v>11</v>
      </c>
      <c r="C25" s="80">
        <v>2145700</v>
      </c>
      <c r="D25" s="80">
        <v>2241700</v>
      </c>
      <c r="E25" s="80">
        <v>2370500</v>
      </c>
      <c r="F25" s="80">
        <v>2372300</v>
      </c>
      <c r="G25" s="80">
        <v>2165500</v>
      </c>
      <c r="H25" s="80">
        <v>2161900</v>
      </c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1510800</v>
      </c>
      <c r="D26" s="82">
        <v>1608000</v>
      </c>
      <c r="E26" s="82">
        <v>1701400</v>
      </c>
      <c r="F26" s="82">
        <v>1645700</v>
      </c>
      <c r="G26" s="82">
        <v>1501900</v>
      </c>
      <c r="H26" s="82">
        <v>1525500</v>
      </c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356300</v>
      </c>
      <c r="D27" s="82">
        <v>371600</v>
      </c>
      <c r="E27" s="82">
        <v>380500</v>
      </c>
      <c r="F27" s="82">
        <v>378200</v>
      </c>
      <c r="G27" s="82">
        <v>368100</v>
      </c>
      <c r="H27" s="82">
        <v>371900</v>
      </c>
      <c r="I27" s="82"/>
      <c r="J27" s="82"/>
      <c r="K27" s="82"/>
      <c r="L27" s="82"/>
      <c r="M27" s="82"/>
    </row>
    <row r="28" spans="2:13" x14ac:dyDescent="0.35">
      <c r="B28" s="81" t="s">
        <v>98</v>
      </c>
      <c r="C28" s="82">
        <v>81700</v>
      </c>
      <c r="D28" s="82">
        <v>83300</v>
      </c>
      <c r="E28" s="82">
        <v>84300</v>
      </c>
      <c r="F28" s="82">
        <v>86400</v>
      </c>
      <c r="G28" s="82">
        <v>81700</v>
      </c>
      <c r="H28" s="82">
        <v>77200</v>
      </c>
      <c r="I28" s="82"/>
      <c r="J28" s="82"/>
      <c r="K28" s="82"/>
      <c r="L28" s="82"/>
      <c r="M28" s="82"/>
    </row>
    <row r="29" spans="2:13" x14ac:dyDescent="0.35">
      <c r="B29" s="81" t="s">
        <v>224</v>
      </c>
      <c r="C29" s="82">
        <v>4900</v>
      </c>
      <c r="D29" s="82">
        <v>12000</v>
      </c>
      <c r="E29" s="82">
        <v>9600</v>
      </c>
      <c r="F29" s="82">
        <v>7300</v>
      </c>
      <c r="G29" s="82">
        <v>7400</v>
      </c>
      <c r="H29" s="82">
        <v>900</v>
      </c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>
        <f>(-127.5-40.3+48.2+1.6+0.1)*1000</f>
        <v>-117900.00000000001</v>
      </c>
      <c r="D31" s="82">
        <f>(-77.8-60+100.3+2.7+0.3)*1000</f>
        <v>-34500.000000000015</v>
      </c>
      <c r="E31" s="82">
        <f>(139.3+63.6-109.2-1.9)*1000</f>
        <v>91800</v>
      </c>
      <c r="F31" s="82">
        <f>(41.4+49.7-67.5-2.2-0.2)*1000</f>
        <v>21199.999999999996</v>
      </c>
      <c r="G31" s="82">
        <v>11500</v>
      </c>
      <c r="H31" s="82">
        <v>-43500</v>
      </c>
      <c r="I31" s="82"/>
      <c r="J31" s="82"/>
      <c r="K31" s="82"/>
      <c r="L31" s="82"/>
      <c r="M31" s="82"/>
    </row>
    <row r="32" spans="2:13" x14ac:dyDescent="0.35">
      <c r="B32" s="81" t="s">
        <v>96</v>
      </c>
      <c r="C32" s="82">
        <f>33200+21600+600</f>
        <v>55400</v>
      </c>
      <c r="D32" s="82">
        <f>34700+21100+700</f>
        <v>56500</v>
      </c>
      <c r="E32" s="82">
        <f>(41.4+22.4+0.8)*1000</f>
        <v>64599.999999999993</v>
      </c>
      <c r="F32" s="82">
        <f>(36.6+21.8+0.9)*1000</f>
        <v>59300.000000000007</v>
      </c>
      <c r="G32" s="82">
        <v>57200</v>
      </c>
      <c r="H32" s="82">
        <v>38000</v>
      </c>
      <c r="I32" s="82"/>
      <c r="J32" s="82"/>
      <c r="K32" s="82"/>
      <c r="L32" s="82"/>
      <c r="M32" s="82"/>
    </row>
    <row r="33" spans="2:13" x14ac:dyDescent="0.35">
      <c r="B33" s="81" t="s">
        <v>99</v>
      </c>
      <c r="C33" s="82">
        <v>32400</v>
      </c>
      <c r="D33" s="82">
        <v>27900</v>
      </c>
      <c r="E33" s="82">
        <v>35900</v>
      </c>
      <c r="F33" s="82">
        <v>49400</v>
      </c>
      <c r="G33" s="82">
        <v>33200</v>
      </c>
      <c r="H33" s="82">
        <v>37300</v>
      </c>
      <c r="I33" s="82"/>
      <c r="J33" s="82"/>
      <c r="K33" s="82"/>
      <c r="L33" s="82"/>
      <c r="M33" s="82"/>
    </row>
    <row r="34" spans="2:13" hidden="1" x14ac:dyDescent="0.35">
      <c r="B34" s="81" t="s">
        <v>246</v>
      </c>
      <c r="C34" s="84"/>
      <c r="D34" s="82"/>
      <c r="E34" s="82">
        <v>1142200</v>
      </c>
      <c r="F34" s="82">
        <v>1080300</v>
      </c>
      <c r="G34" s="82">
        <v>889800</v>
      </c>
      <c r="H34" s="82">
        <v>929600</v>
      </c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245</v>
      </c>
      <c r="C37" s="82">
        <f>669800+139500</f>
        <v>809300</v>
      </c>
      <c r="D37" s="82">
        <f>517200+166500</f>
        <v>683700</v>
      </c>
      <c r="E37" s="82">
        <v>628000</v>
      </c>
      <c r="F37" s="82">
        <v>523000</v>
      </c>
      <c r="G37" s="82">
        <v>441900</v>
      </c>
      <c r="H37" s="82">
        <v>476500</v>
      </c>
      <c r="I37" s="82"/>
      <c r="J37" s="82"/>
      <c r="K37" s="82"/>
      <c r="L37" s="82"/>
      <c r="M37" s="82"/>
    </row>
    <row r="38" spans="2:13" x14ac:dyDescent="0.35">
      <c r="B38" s="79" t="s">
        <v>251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>
        <v>20600</v>
      </c>
      <c r="F39" s="82">
        <v>17500</v>
      </c>
      <c r="G39" s="82">
        <v>17900</v>
      </c>
      <c r="H39" s="82">
        <v>0</v>
      </c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>
        <v>176500</v>
      </c>
      <c r="F40" s="82">
        <v>188600</v>
      </c>
      <c r="G40" s="82">
        <v>147300</v>
      </c>
      <c r="H40" s="82">
        <v>0</v>
      </c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>
        <v>627000</v>
      </c>
      <c r="D41" s="82">
        <v>634700</v>
      </c>
      <c r="E41" s="82">
        <v>678800</v>
      </c>
      <c r="F41" s="82">
        <v>731100</v>
      </c>
      <c r="G41" s="82">
        <v>601500</v>
      </c>
      <c r="H41" s="82">
        <v>607000</v>
      </c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>
        <v>0</v>
      </c>
      <c r="D42" s="82">
        <v>0</v>
      </c>
      <c r="E42" s="82">
        <v>0</v>
      </c>
      <c r="F42" s="82">
        <v>0</v>
      </c>
      <c r="G42" s="82">
        <v>0</v>
      </c>
      <c r="H42" s="82">
        <v>0</v>
      </c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f>0.48+0.17</f>
        <v>0.65</v>
      </c>
      <c r="D44" s="86">
        <f>0.42+0.17</f>
        <v>0.59</v>
      </c>
      <c r="E44" s="86">
        <f>0.51+0.17</f>
        <v>0.68</v>
      </c>
      <c r="F44" s="86">
        <f>0.74+0.17</f>
        <v>0.91</v>
      </c>
      <c r="G44" s="86">
        <f>0.36+0.17</f>
        <v>0.53</v>
      </c>
      <c r="H44" s="86">
        <f>0.5+0.17</f>
        <v>0.67</v>
      </c>
      <c r="I44" s="86"/>
      <c r="J44" s="86"/>
      <c r="K44" s="86"/>
      <c r="L44" s="86"/>
      <c r="M44" s="86"/>
    </row>
    <row r="45" spans="2:13" x14ac:dyDescent="0.35">
      <c r="B45" s="85" t="s">
        <v>220</v>
      </c>
      <c r="C45" s="87">
        <f>IF(C44="","",C44*Exchange_Rate/Dashboard!$G$3)</f>
        <v>9.6322389352715962E-2</v>
      </c>
      <c r="D45" s="87">
        <f>IF(D44="","",D44*Exchange_Rate/Dashboard!$G$3)</f>
        <v>8.7431091874003705E-2</v>
      </c>
      <c r="E45" s="87">
        <f>IF(E44="","",E44*Exchange_Rate/Dashboard!$G$3)</f>
        <v>0.10076803809207208</v>
      </c>
      <c r="F45" s="87">
        <f>IF(F44="","",F44*Exchange_Rate/Dashboard!$G$3)</f>
        <v>0.13485134509380234</v>
      </c>
      <c r="G45" s="87">
        <f>IF(G44="","",G44*Exchange_Rate/Dashboard!$G$3)</f>
        <v>7.8539794395291476E-2</v>
      </c>
      <c r="H45" s="87">
        <f>IF(H44="","",H44*Exchange_Rate/Dashboard!$G$3)</f>
        <v>9.9286155178953381E-2</v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Sheet- Error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228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227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249</v>
      </c>
      <c r="C82" s="84"/>
    </row>
    <row r="83" spans="2:8" ht="12" hidden="1" thickTop="1" x14ac:dyDescent="0.35">
      <c r="B83" s="98" t="s">
        <v>250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280</v>
      </c>
      <c r="C86" s="84">
        <v>5</v>
      </c>
      <c r="D86" s="305"/>
    </row>
    <row r="87" spans="2:8" x14ac:dyDescent="0.35">
      <c r="B87" s="88" t="s">
        <v>219</v>
      </c>
      <c r="C87" s="112" t="s">
        <v>278</v>
      </c>
      <c r="D87" s="113">
        <v>0.02</v>
      </c>
    </row>
    <row r="89" spans="2:8" x14ac:dyDescent="0.35">
      <c r="B89" s="99" t="s">
        <v>117</v>
      </c>
      <c r="C89" s="309">
        <f>C24</f>
        <v>45382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1000USD)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2145700</v>
      </c>
      <c r="D91" s="103"/>
      <c r="E91" s="104">
        <f>C91</f>
        <v>2145700</v>
      </c>
      <c r="F91" s="104">
        <f>C91</f>
        <v>2145700</v>
      </c>
    </row>
    <row r="92" spans="2:8" x14ac:dyDescent="0.35">
      <c r="B92" s="105" t="s">
        <v>97</v>
      </c>
      <c r="C92" s="102">
        <f>C26</f>
        <v>1510800</v>
      </c>
      <c r="D92" s="106">
        <f>C92/C91</f>
        <v>0.70410588619098657</v>
      </c>
      <c r="E92" s="107">
        <f>E91*D92</f>
        <v>1510800</v>
      </c>
      <c r="F92" s="107">
        <f>F91*D92</f>
        <v>1510800</v>
      </c>
    </row>
    <row r="93" spans="2:8" x14ac:dyDescent="0.35">
      <c r="B93" s="105" t="s">
        <v>218</v>
      </c>
      <c r="C93" s="102">
        <f>C27+C28</f>
        <v>438000</v>
      </c>
      <c r="D93" s="106">
        <f>C93/C91</f>
        <v>0.20412918860977769</v>
      </c>
      <c r="E93" s="107">
        <f>E91*D93</f>
        <v>438000</v>
      </c>
      <c r="F93" s="107">
        <f>F91*D93</f>
        <v>438000</v>
      </c>
    </row>
    <row r="94" spans="2:8" x14ac:dyDescent="0.35">
      <c r="B94" s="105" t="s">
        <v>224</v>
      </c>
      <c r="C94" s="102">
        <f>C29</f>
        <v>4900</v>
      </c>
      <c r="D94" s="106">
        <f>C94/C91</f>
        <v>2.2836370415249105E-3</v>
      </c>
      <c r="E94" s="108"/>
      <c r="F94" s="107">
        <f>F91*D94</f>
        <v>4900.0000000000009</v>
      </c>
    </row>
    <row r="95" spans="2:8" x14ac:dyDescent="0.35">
      <c r="B95" s="18" t="s">
        <v>217</v>
      </c>
      <c r="C95" s="102">
        <f>ABS(MAX(C33,0)-C32)</f>
        <v>23000</v>
      </c>
      <c r="D95" s="106">
        <f>C95/C91</f>
        <v>1.0719112643892435E-2</v>
      </c>
      <c r="E95" s="107">
        <f>E91*D95</f>
        <v>23000</v>
      </c>
      <c r="F95" s="107">
        <f>F91*D95</f>
        <v>23000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0</v>
      </c>
      <c r="D97" s="106">
        <f>C97/C91</f>
        <v>0</v>
      </c>
      <c r="E97" s="108"/>
      <c r="F97" s="107">
        <f>F91*D97</f>
        <v>0</v>
      </c>
    </row>
    <row r="98" spans="2:6" x14ac:dyDescent="0.35">
      <c r="B98" s="8" t="s">
        <v>182</v>
      </c>
      <c r="C98" s="109">
        <f>C44</f>
        <v>0.65</v>
      </c>
      <c r="D98" s="110"/>
      <c r="E98" s="111">
        <f>F98</f>
        <v>0.65</v>
      </c>
      <c r="F98" s="111">
        <f>C98</f>
        <v>0.65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0303.HK : VTECH</v>
      </c>
      <c r="D2" s="3"/>
      <c r="E2" s="7"/>
      <c r="F2" s="7"/>
      <c r="G2" s="313" t="str">
        <f>IF(Inputs!D4="","",Inputs!D4)</f>
        <v/>
      </c>
      <c r="H2" s="313"/>
    </row>
    <row r="3" spans="1:10" ht="15.75" customHeight="1" x14ac:dyDescent="0.35">
      <c r="B3" s="9" t="s">
        <v>169</v>
      </c>
      <c r="C3" s="311" t="str">
        <f>Inputs!C4</f>
        <v>0303.HK</v>
      </c>
      <c r="D3" s="312"/>
      <c r="E3" s="3"/>
      <c r="F3" s="9" t="s">
        <v>1</v>
      </c>
      <c r="G3" s="10">
        <v>52.4</v>
      </c>
      <c r="H3" s="11" t="s">
        <v>259</v>
      </c>
    </row>
    <row r="4" spans="1:10" ht="15.75" customHeight="1" x14ac:dyDescent="0.35">
      <c r="B4" s="12" t="s">
        <v>170</v>
      </c>
      <c r="C4" s="313" t="str">
        <f>Inputs!C5</f>
        <v>VTECH</v>
      </c>
      <c r="D4" s="314"/>
      <c r="E4" s="3"/>
      <c r="F4" s="9" t="s">
        <v>2</v>
      </c>
      <c r="G4" s="317">
        <f>Inputs!C10</f>
        <v>253069133</v>
      </c>
      <c r="H4" s="317"/>
      <c r="I4" s="14"/>
    </row>
    <row r="5" spans="1:10" ht="15.75" customHeight="1" x14ac:dyDescent="0.35">
      <c r="B5" s="9" t="s">
        <v>147</v>
      </c>
      <c r="C5" s="315">
        <f>Inputs!C6</f>
        <v>45639</v>
      </c>
      <c r="D5" s="316"/>
      <c r="E5" s="16"/>
      <c r="F5" s="12" t="s">
        <v>91</v>
      </c>
      <c r="G5" s="320">
        <f>G3*G4/1000000</f>
        <v>13260.8225692</v>
      </c>
      <c r="H5" s="320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45382</v>
      </c>
      <c r="F6" s="9" t="s">
        <v>4</v>
      </c>
      <c r="G6" s="321" t="str">
        <f>Inputs!C11</f>
        <v>USD</v>
      </c>
      <c r="H6" s="321"/>
      <c r="I6" s="17"/>
    </row>
    <row r="7" spans="1:10" ht="15.75" customHeight="1" x14ac:dyDescent="0.35">
      <c r="B7" s="8" t="s">
        <v>167</v>
      </c>
      <c r="C7" s="128" t="str">
        <f>Inputs!C8</f>
        <v xml:space="preserve">Superior Cycl. </v>
      </c>
      <c r="D7" s="128" t="str">
        <f>Inputs!C9</f>
        <v>C0007</v>
      </c>
      <c r="E7" s="3"/>
      <c r="F7" s="12" t="s">
        <v>5</v>
      </c>
      <c r="G7" s="21">
        <v>7.7650664647420244</v>
      </c>
      <c r="H7" s="22" t="str">
        <f>IF(G6=Dashboard!H3,H3,G6&amp;"/"&amp;Dashboard!H3)</f>
        <v>USD/HKD</v>
      </c>
    </row>
    <row r="8" spans="1:10" ht="15.75" customHeight="1" x14ac:dyDescent="0.35"/>
    <row r="9" spans="1:10" ht="15.75" customHeight="1" x14ac:dyDescent="0.35">
      <c r="B9" s="88" t="s">
        <v>260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221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HK</v>
      </c>
      <c r="F16" s="25" t="s">
        <v>157</v>
      </c>
    </row>
    <row r="17" spans="1:8" ht="15.75" customHeight="1" thickTop="1" x14ac:dyDescent="0.35">
      <c r="B17" s="3" t="s">
        <v>222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244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235</v>
      </c>
      <c r="C20" s="31">
        <f>C21*C22*C23</f>
        <v>0.31403508771929822</v>
      </c>
      <c r="F20" s="3" t="s">
        <v>186</v>
      </c>
      <c r="G20" s="121">
        <v>0.15</v>
      </c>
      <c r="H20" s="307">
        <v>4</v>
      </c>
    </row>
    <row r="21" spans="1:8" ht="15.75" customHeight="1" thickTop="1" x14ac:dyDescent="0.35">
      <c r="B21" s="32" t="s">
        <v>240</v>
      </c>
      <c r="C21" s="33">
        <f>Data!C13</f>
        <v>9.1764925199235681E-2</v>
      </c>
      <c r="F21" s="3"/>
      <c r="G21" s="34"/>
    </row>
    <row r="22" spans="1:8" ht="15.75" customHeight="1" x14ac:dyDescent="0.35">
      <c r="B22" s="35" t="s">
        <v>247</v>
      </c>
      <c r="C22" s="36">
        <f>Data!C48</f>
        <v>1.4939079579475041</v>
      </c>
      <c r="F22" s="88" t="s">
        <v>261</v>
      </c>
      <c r="G22" s="293"/>
      <c r="H22" s="293"/>
    </row>
    <row r="23" spans="1:8" ht="15.75" customHeight="1" thickBot="1" x14ac:dyDescent="0.4">
      <c r="B23" s="37" t="s">
        <v>253</v>
      </c>
      <c r="C23" s="38">
        <f>1/Data!C53</f>
        <v>2.290749601275917</v>
      </c>
      <c r="F23" s="39" t="s">
        <v>165</v>
      </c>
      <c r="G23" s="40">
        <f>G3/(Data!C34*Data!C4/Common_Shares*Exchange_Rate)</f>
        <v>2.723690436840839</v>
      </c>
    </row>
    <row r="24" spans="1:8" ht="15.75" customHeight="1" x14ac:dyDescent="0.35">
      <c r="B24" s="41" t="s">
        <v>241</v>
      </c>
      <c r="C24" s="42">
        <f>Fin_Analysis!I81</f>
        <v>2.2836370415249105E-3</v>
      </c>
      <c r="F24" s="39" t="s">
        <v>226</v>
      </c>
      <c r="G24" s="43">
        <f>G3/(Fin_Analysis!H86*G7)</f>
        <v>13.123445046485868</v>
      </c>
    </row>
    <row r="25" spans="1:8" ht="15.75" customHeight="1" x14ac:dyDescent="0.35">
      <c r="B25" s="28" t="s">
        <v>242</v>
      </c>
      <c r="C25" s="44">
        <f>Fin_Analysis!I80</f>
        <v>0</v>
      </c>
      <c r="F25" s="39" t="s">
        <v>153</v>
      </c>
      <c r="G25" s="44">
        <f>Fin_Analysis!I88</f>
        <v>1.2640815834165835</v>
      </c>
    </row>
    <row r="26" spans="1:8" ht="15.75" customHeight="1" x14ac:dyDescent="0.35">
      <c r="B26" s="45" t="s">
        <v>243</v>
      </c>
      <c r="C26" s="44">
        <f>Fin_Analysis!I80+Fin_Analysis!I82</f>
        <v>1.0719112643892435E-2</v>
      </c>
      <c r="F26" s="46" t="s">
        <v>168</v>
      </c>
      <c r="G26" s="47">
        <f>Fin_Analysis!H88*Exchange_Rate/G3</f>
        <v>9.6322389352715962E-2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8" t="s">
        <v>225</v>
      </c>
      <c r="H28" s="318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26.006600750480246</v>
      </c>
      <c r="D29" s="54">
        <f>G29*(1+G20)</f>
        <v>54.846074261935243</v>
      </c>
      <c r="E29" s="3"/>
      <c r="F29" s="55">
        <f>IF(Fin_Analysis!C108="Profit",Fin_Analysis!F100,IF(Fin_Analysis!C108="Dividend",Fin_Analysis!F103,Fin_Analysis!F106))</f>
        <v>30.596000882917938</v>
      </c>
      <c r="G29" s="319">
        <f>IF(Fin_Analysis!C108="Profit",Fin_Analysis!I100,IF(Fin_Analysis!C108="Dividend",Fin_Analysis!I103,Fin_Analysis!I106))</f>
        <v>47.692238488639347</v>
      </c>
      <c r="H29" s="319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unclear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260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unclear</v>
      </c>
    </row>
    <row r="37" spans="1:4" ht="15.75" customHeight="1" x14ac:dyDescent="0.35">
      <c r="B37" s="56" t="s">
        <v>212</v>
      </c>
      <c r="C37" s="117" t="str">
        <f>Inputs!C19</f>
        <v>unclear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unclear</v>
      </c>
    </row>
    <row r="40" spans="1:4" ht="15.75" customHeight="1" x14ac:dyDescent="0.35">
      <c r="B40" s="2" t="s">
        <v>204</v>
      </c>
      <c r="C40" s="117" t="str">
        <f>Inputs!C21</f>
        <v>unclear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Unclear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G28:H28"/>
    <mergeCell ref="G29:H29"/>
    <mergeCell ref="G5:H5"/>
    <mergeCell ref="G6:H6"/>
    <mergeCell ref="C3:D3"/>
    <mergeCell ref="C4:D4"/>
    <mergeCell ref="C5:D5"/>
    <mergeCell ref="G4:H4"/>
    <mergeCell ref="G2:H2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45382</v>
      </c>
      <c r="E3" s="143" t="s">
        <v>175</v>
      </c>
      <c r="F3" s="144">
        <f>H14</f>
        <v>187300</v>
      </c>
      <c r="G3" s="144">
        <f>C14</f>
        <v>196900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</v>
      </c>
      <c r="D4" s="2" t="str">
        <f>Dashboard!G6</f>
        <v>USD</v>
      </c>
      <c r="E4" s="143" t="s">
        <v>176</v>
      </c>
      <c r="F4" s="146">
        <f>(G3/F3)^(1/H3)-1</f>
        <v>8.3655264529756135E-3</v>
      </c>
      <c r="J4" s="3"/>
    </row>
    <row r="5" spans="1:14" ht="15.75" customHeight="1" x14ac:dyDescent="0.35">
      <c r="A5" s="134"/>
      <c r="B5" s="76" t="s">
        <v>123</v>
      </c>
      <c r="C5" s="294">
        <f>C3</f>
        <v>45382</v>
      </c>
      <c r="D5" s="295">
        <f>EOMONTH(EDATE(C5,-12),0)</f>
        <v>45016</v>
      </c>
      <c r="E5" s="295">
        <f t="shared" ref="E5:M5" si="0">EOMONTH(EDATE(D5,-12),0)</f>
        <v>44651</v>
      </c>
      <c r="F5" s="295">
        <f t="shared" si="0"/>
        <v>44286</v>
      </c>
      <c r="G5" s="295">
        <f t="shared" si="0"/>
        <v>43921</v>
      </c>
      <c r="H5" s="295">
        <f t="shared" si="0"/>
        <v>43555</v>
      </c>
      <c r="I5" s="295">
        <f t="shared" si="0"/>
        <v>43190</v>
      </c>
      <c r="J5" s="295">
        <f t="shared" si="0"/>
        <v>42825</v>
      </c>
      <c r="K5" s="295">
        <f t="shared" si="0"/>
        <v>42460</v>
      </c>
      <c r="L5" s="295">
        <f t="shared" si="0"/>
        <v>42094</v>
      </c>
      <c r="M5" s="295">
        <f t="shared" si="0"/>
        <v>41729</v>
      </c>
    </row>
    <row r="6" spans="1:14" ht="15.75" customHeight="1" x14ac:dyDescent="0.35">
      <c r="A6" s="140"/>
      <c r="B6" s="269" t="s">
        <v>11</v>
      </c>
      <c r="C6" s="147">
        <f>IF(Inputs!C25=""," ",Inputs!C25)</f>
        <v>2145700</v>
      </c>
      <c r="D6" s="147">
        <f>IF(Inputs!D25="","",Inputs!D25)</f>
        <v>2241700</v>
      </c>
      <c r="E6" s="147">
        <f>IF(Inputs!E25="","",Inputs!E25)</f>
        <v>2370500</v>
      </c>
      <c r="F6" s="147">
        <f>IF(Inputs!F25="","",Inputs!F25)</f>
        <v>2372300</v>
      </c>
      <c r="G6" s="147">
        <f>IF(Inputs!G25="","",Inputs!G25)</f>
        <v>2165500</v>
      </c>
      <c r="H6" s="147">
        <f>IF(Inputs!H25="","",Inputs!H25)</f>
        <v>2161900</v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-4.2824642012758152E-2</v>
      </c>
      <c r="D7" s="148">
        <f t="shared" si="1"/>
        <v>-5.4334528580468278E-2</v>
      </c>
      <c r="E7" s="148">
        <f t="shared" si="1"/>
        <v>-7.5875732411578856E-4</v>
      </c>
      <c r="F7" s="148">
        <f t="shared" si="1"/>
        <v>9.5497575617640162E-2</v>
      </c>
      <c r="G7" s="148">
        <f t="shared" si="1"/>
        <v>1.6652019057310508E-3</v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1510800</v>
      </c>
      <c r="D8" s="149">
        <f>IF(Inputs!D26="","",Inputs!D26)</f>
        <v>1608000</v>
      </c>
      <c r="E8" s="149">
        <f>IF(Inputs!E26="","",Inputs!E26)</f>
        <v>1701400</v>
      </c>
      <c r="F8" s="149">
        <f>IF(Inputs!F26="","",Inputs!F26)</f>
        <v>1645700</v>
      </c>
      <c r="G8" s="149">
        <f>IF(Inputs!G26="","",Inputs!G26)</f>
        <v>1501900</v>
      </c>
      <c r="H8" s="149">
        <f>IF(Inputs!H26="","",Inputs!H26)</f>
        <v>1525500</v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634900</v>
      </c>
      <c r="D9" s="279">
        <f t="shared" si="2"/>
        <v>633700</v>
      </c>
      <c r="E9" s="279">
        <f t="shared" si="2"/>
        <v>669100</v>
      </c>
      <c r="F9" s="279">
        <f t="shared" si="2"/>
        <v>726600</v>
      </c>
      <c r="G9" s="279">
        <f t="shared" si="2"/>
        <v>663600</v>
      </c>
      <c r="H9" s="279">
        <f t="shared" si="2"/>
        <v>636400</v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356300</v>
      </c>
      <c r="D10" s="149">
        <f>IF(Inputs!D27="","",Inputs!D27)</f>
        <v>371600</v>
      </c>
      <c r="E10" s="149">
        <f>IF(Inputs!E27="","",Inputs!E27)</f>
        <v>380500</v>
      </c>
      <c r="F10" s="149">
        <f>IF(Inputs!F27="","",Inputs!F27)</f>
        <v>378200</v>
      </c>
      <c r="G10" s="149">
        <f>IF(Inputs!G27="","",Inputs!G27)</f>
        <v>368100</v>
      </c>
      <c r="H10" s="149">
        <f>IF(Inputs!H27="","",Inputs!H27)</f>
        <v>371900</v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>
        <f>IF(Inputs!C28="","",Inputs!C28)</f>
        <v>81700</v>
      </c>
      <c r="D11" s="149">
        <f>IF(Inputs!D28="","",Inputs!D28)</f>
        <v>83300</v>
      </c>
      <c r="E11" s="149">
        <f>IF(Inputs!E28="","",Inputs!E28)</f>
        <v>84300</v>
      </c>
      <c r="F11" s="149">
        <f>IF(Inputs!F28="","",Inputs!F28)</f>
        <v>86400</v>
      </c>
      <c r="G11" s="149">
        <f>IF(Inputs!G28="","",Inputs!G28)</f>
        <v>81700</v>
      </c>
      <c r="H11" s="149">
        <f>IF(Inputs!H28="","",Inputs!H28)</f>
        <v>77200</v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0</v>
      </c>
      <c r="D12" s="149">
        <f>IF(Inputs!D30="","",MAX(Inputs!D30,0)/(1-Fin_Analysis!$I$84))</f>
        <v>0</v>
      </c>
      <c r="E12" s="149">
        <f>IF(Inputs!E30="","",MAX(Inputs!E30,0)/(1-Fin_Analysis!$I$84))</f>
        <v>0</v>
      </c>
      <c r="F12" s="149">
        <f>IF(Inputs!F30="","",MAX(Inputs!F30,0)/(1-Fin_Analysis!$I$84))</f>
        <v>0</v>
      </c>
      <c r="G12" s="149">
        <f>IF(Inputs!G30="","",MAX(Inputs!G30,0)/(1-Fin_Analysis!$I$84))</f>
        <v>0</v>
      </c>
      <c r="H12" s="149">
        <f>IF(Inputs!H30="","",MAX(Inputs!H30,0)/(1-Fin_Analysis!$I$84))</f>
        <v>0</v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9.1764925199235681E-2</v>
      </c>
      <c r="D13" s="300">
        <f t="shared" si="3"/>
        <v>7.9760895748762106E-2</v>
      </c>
      <c r="E13" s="300">
        <f t="shared" si="3"/>
        <v>8.6184349293398022E-2</v>
      </c>
      <c r="F13" s="300">
        <f t="shared" si="3"/>
        <v>0.11044134384352738</v>
      </c>
      <c r="G13" s="300">
        <f t="shared" si="3"/>
        <v>9.8730085430616482E-2</v>
      </c>
      <c r="H13" s="300">
        <f t="shared" si="3"/>
        <v>8.6636754706508168E-2</v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196900</v>
      </c>
      <c r="D14" s="302">
        <f t="shared" ref="D14:M14" si="4">IF(D6="","",D9-D10-MAX(D11,0)-MAX(D12,0))</f>
        <v>178800</v>
      </c>
      <c r="E14" s="302">
        <f t="shared" si="4"/>
        <v>204300</v>
      </c>
      <c r="F14" s="302">
        <f t="shared" si="4"/>
        <v>262000</v>
      </c>
      <c r="G14" s="302">
        <f t="shared" si="4"/>
        <v>213800</v>
      </c>
      <c r="H14" s="302">
        <f t="shared" si="4"/>
        <v>187300</v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0.10123042505592841</v>
      </c>
      <c r="D15" s="304">
        <f t="shared" ref="D15:M15" si="5">IF(E14="","",IF(ABS(D14+E14)=ABS(D14)+ABS(E14),IF(D14&lt;0,-1,1)*(D14-E14)/E14,"Turn"))</f>
        <v>-0.12481644640234948</v>
      </c>
      <c r="E15" s="304">
        <f t="shared" si="5"/>
        <v>-0.2202290076335878</v>
      </c>
      <c r="F15" s="304">
        <f t="shared" si="5"/>
        <v>0.225444340505145</v>
      </c>
      <c r="G15" s="304">
        <f t="shared" si="5"/>
        <v>0.1414842498665243</v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>
        <f>IF(Inputs!C31="","",Inputs!C31)</f>
        <v>-117900.00000000001</v>
      </c>
      <c r="D16" s="149">
        <f>IF(Inputs!D31="","",Inputs!D31)</f>
        <v>-34500.000000000015</v>
      </c>
      <c r="E16" s="149">
        <f>IF(Inputs!E31="","",Inputs!E31)</f>
        <v>91800</v>
      </c>
      <c r="F16" s="149">
        <f>IF(Inputs!F31="","",Inputs!F31)</f>
        <v>21199.999999999996</v>
      </c>
      <c r="G16" s="149">
        <f>IF(Inputs!G31="","",Inputs!G31)</f>
        <v>11500</v>
      </c>
      <c r="H16" s="149">
        <f>IF(Inputs!H31="","",Inputs!H31)</f>
        <v>-43500</v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224</v>
      </c>
      <c r="C17" s="149">
        <f>IF(Inputs!C29="","",Inputs!C29)</f>
        <v>4900</v>
      </c>
      <c r="D17" s="149">
        <f>IF(Inputs!D29="","",Inputs!D29)</f>
        <v>12000</v>
      </c>
      <c r="E17" s="149">
        <f>IF(Inputs!E29="","",Inputs!E29)</f>
        <v>9600</v>
      </c>
      <c r="F17" s="149">
        <f>IF(Inputs!F29="","",Inputs!F29)</f>
        <v>7300</v>
      </c>
      <c r="G17" s="149">
        <f>IF(Inputs!G29="","",Inputs!G29)</f>
        <v>7400</v>
      </c>
      <c r="H17" s="149">
        <f>IF(Inputs!H29="","",Inputs!H29)</f>
        <v>900</v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>
        <f t="shared" ref="C18:M18" si="6">IF(OR(C6="",C19=""),"",C19/C6)</f>
        <v>2.5819080020506129E-2</v>
      </c>
      <c r="D18" s="233">
        <f t="shared" si="6"/>
        <v>2.5204086184592051E-2</v>
      </c>
      <c r="E18" s="233">
        <f t="shared" si="6"/>
        <v>2.7251634676228639E-2</v>
      </c>
      <c r="F18" s="233">
        <f t="shared" si="6"/>
        <v>2.4996838511149519E-2</v>
      </c>
      <c r="G18" s="233">
        <f t="shared" si="6"/>
        <v>2.6414223043177094E-2</v>
      </c>
      <c r="H18" s="233">
        <f t="shared" si="6"/>
        <v>1.7577131227161293E-2</v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>
        <f>IF(Inputs!C32="","",Inputs!C32)</f>
        <v>55400</v>
      </c>
      <c r="D19" s="149">
        <f>IF(Inputs!D32="","",Inputs!D32)</f>
        <v>56500</v>
      </c>
      <c r="E19" s="149">
        <f>IF(Inputs!E32="","",Inputs!E32)</f>
        <v>64599.999999999993</v>
      </c>
      <c r="F19" s="149">
        <f>IF(Inputs!F32="","",Inputs!F32)</f>
        <v>59300.000000000007</v>
      </c>
      <c r="G19" s="149">
        <f>IF(Inputs!G32="","",Inputs!G32)</f>
        <v>57200</v>
      </c>
      <c r="H19" s="149">
        <f>IF(Inputs!H32="","",Inputs!H32)</f>
        <v>38000</v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1.5099967376613692E-2</v>
      </c>
      <c r="D20" s="233">
        <f t="shared" si="7"/>
        <v>1.2445911584957845E-2</v>
      </c>
      <c r="E20" s="233">
        <f t="shared" si="7"/>
        <v>1.5144484286015608E-2</v>
      </c>
      <c r="F20" s="233">
        <f t="shared" si="7"/>
        <v>2.0823673228512415E-2</v>
      </c>
      <c r="G20" s="233">
        <f t="shared" si="7"/>
        <v>1.5331332255830062E-2</v>
      </c>
      <c r="H20" s="233">
        <f t="shared" si="7"/>
        <v>1.7253341967713585E-2</v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>
        <f>IF(Inputs!C33="","",Inputs!C33)</f>
        <v>32400</v>
      </c>
      <c r="D21" s="149">
        <f>IF(Inputs!D33="","",Inputs!D33)</f>
        <v>27900</v>
      </c>
      <c r="E21" s="149">
        <f>IF(Inputs!E33="","",Inputs!E33)</f>
        <v>35900</v>
      </c>
      <c r="F21" s="149">
        <f>IF(Inputs!F33="","",Inputs!F33)</f>
        <v>49400</v>
      </c>
      <c r="G21" s="149">
        <f>IF(Inputs!G33="","",Inputs!G33)</f>
        <v>33200</v>
      </c>
      <c r="H21" s="149">
        <f>IF(Inputs!H33="","",Inputs!H33)</f>
        <v>37300</v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169000</v>
      </c>
      <c r="D22" s="283">
        <f t="shared" ref="D22:M22" si="8">IF(D6="","",D14-MAX(D16,0)-MAX(D17,0)-ABS(MAX(D21,0)-MAX(D19,0)))</f>
        <v>138200</v>
      </c>
      <c r="E22" s="283">
        <f t="shared" si="8"/>
        <v>74200</v>
      </c>
      <c r="F22" s="283">
        <f t="shared" si="8"/>
        <v>223600</v>
      </c>
      <c r="G22" s="283">
        <f t="shared" si="8"/>
        <v>170900</v>
      </c>
      <c r="H22" s="283">
        <f t="shared" si="8"/>
        <v>185700</v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6.0646875145640121E-2</v>
      </c>
      <c r="D23" s="148">
        <f t="shared" si="9"/>
        <v>4.7470223491100506E-2</v>
      </c>
      <c r="E23" s="148">
        <f t="shared" si="9"/>
        <v>2.4102088167053365E-2</v>
      </c>
      <c r="F23" s="148">
        <f t="shared" si="9"/>
        <v>7.2575981115373264E-2</v>
      </c>
      <c r="G23" s="148">
        <f t="shared" si="9"/>
        <v>6.0767951974139922E-2</v>
      </c>
      <c r="H23" s="148">
        <f t="shared" si="9"/>
        <v>6.6140432027383317E-2</v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130130</v>
      </c>
      <c r="D24" s="282">
        <f>IF(D6="","",D22*(1-Fin_Analysis!$I$84))</f>
        <v>106414</v>
      </c>
      <c r="E24" s="282">
        <f>IF(E6="","",E22*(1-Fin_Analysis!$I$84))</f>
        <v>57134</v>
      </c>
      <c r="F24" s="282">
        <f>IF(F6="","",F22*(1-Fin_Analysis!$I$84))</f>
        <v>172172</v>
      </c>
      <c r="G24" s="282">
        <f>IF(G6="","",G22*(1-Fin_Analysis!$I$84))</f>
        <v>131593</v>
      </c>
      <c r="H24" s="282">
        <f>IF(H6="","",H22*(1-Fin_Analysis!$I$84))</f>
        <v>142989</v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0.22286541244573083</v>
      </c>
      <c r="D25" s="152">
        <f t="shared" ref="D25:M25" si="10">IF(E24="","",IF(ABS(D24+E24)=ABS(D24)+ABS(E24),IF(D24&lt;0,-1,1)*(D24-E24)/E24,"Turn"))</f>
        <v>0.86253369272237201</v>
      </c>
      <c r="E25" s="152">
        <f t="shared" si="10"/>
        <v>-0.66815742397137745</v>
      </c>
      <c r="F25" s="152">
        <f t="shared" si="10"/>
        <v>0.30836746635459333</v>
      </c>
      <c r="G25" s="152">
        <f t="shared" si="10"/>
        <v>-7.9698438341410882E-2</v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45016</v>
      </c>
      <c r="E26" s="78">
        <f t="shared" ref="E26" si="11">EOMONTH(EDATE(D26,-12),0)</f>
        <v>44651</v>
      </c>
      <c r="F26" s="78">
        <f t="shared" ref="F26" si="12">EOMONTH(EDATE(E26,-12),0)</f>
        <v>44286</v>
      </c>
      <c r="G26" s="78">
        <f t="shared" ref="G26" si="13">EOMONTH(EDATE(F26,-12),0)</f>
        <v>43921</v>
      </c>
      <c r="H26" s="78">
        <f t="shared" ref="H26" si="14">EOMONTH(EDATE(G26,-12),0)</f>
        <v>43555</v>
      </c>
      <c r="I26" s="78">
        <f t="shared" ref="I26" si="15">EOMONTH(EDATE(H26,-12),0)</f>
        <v>43190</v>
      </c>
      <c r="J26" s="78">
        <f t="shared" ref="J26" si="16">EOMONTH(EDATE(I26,-12),0)</f>
        <v>42825</v>
      </c>
      <c r="K26" s="78">
        <f t="shared" ref="K26" si="17">EOMONTH(EDATE(J26,-12),0)</f>
        <v>42460</v>
      </c>
      <c r="L26" s="78">
        <f t="shared" ref="L26" si="18">EOMONTH(EDATE(K26,-12),0)</f>
        <v>42094</v>
      </c>
      <c r="M26" s="78">
        <f t="shared" ref="M26" si="19">EOMONTH(EDATE(L26,-12),0)</f>
        <v>41729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1436300</v>
      </c>
      <c r="D27" s="153">
        <f>IF(D34="","",D34+D30)</f>
        <v>1318400</v>
      </c>
      <c r="E27" s="153">
        <f t="shared" ref="E27:M27" si="20">IF(E34="","",E34+E30)</f>
        <v>1306800</v>
      </c>
      <c r="F27" s="153">
        <f t="shared" si="20"/>
        <v>1254100</v>
      </c>
      <c r="G27" s="153">
        <f t="shared" si="20"/>
        <v>1043400</v>
      </c>
      <c r="H27" s="153">
        <f t="shared" si="20"/>
        <v>1083500</v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245</v>
      </c>
      <c r="C30" s="153">
        <f>Inputs!C37</f>
        <v>809300</v>
      </c>
      <c r="D30" s="149">
        <f>IF(Inputs!D37="","",Inputs!D37)</f>
        <v>683700</v>
      </c>
      <c r="E30" s="149">
        <f>IF(Inputs!E37="","",Inputs!E37)</f>
        <v>628000</v>
      </c>
      <c r="F30" s="149">
        <f>IF(Inputs!F37="","",Inputs!F37)</f>
        <v>523000</v>
      </c>
      <c r="G30" s="149">
        <f>IF(Inputs!G37="","",Inputs!G37)</f>
        <v>441900</v>
      </c>
      <c r="H30" s="149">
        <f>IF(Inputs!H37="","",Inputs!H37)</f>
        <v>476500</v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>
        <f>IF(Inputs!E39="","",Inputs!E39)</f>
        <v>20600</v>
      </c>
      <c r="F31" s="149">
        <f>IF(Inputs!F39="","",Inputs!F39)</f>
        <v>17500</v>
      </c>
      <c r="G31" s="149">
        <f>IF(Inputs!G39="","",Inputs!G39)</f>
        <v>17900</v>
      </c>
      <c r="H31" s="149">
        <f>IF(Inputs!H39="","",Inputs!H39)</f>
        <v>0</v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>
        <f>IF(Inputs!E40="","",Inputs!E40)</f>
        <v>176500</v>
      </c>
      <c r="F32" s="149">
        <f>IF(Inputs!F40="","",Inputs!F40)</f>
        <v>188600</v>
      </c>
      <c r="G32" s="149">
        <f>IF(Inputs!G40="","",Inputs!G40)</f>
        <v>147300</v>
      </c>
      <c r="H32" s="149">
        <f>IF(Inputs!H40="","",Inputs!H40)</f>
        <v>0</v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>
        <f t="shared" ref="E33" si="23">IF(OR(E31="",E32=""),"",E31+E32)</f>
        <v>197100</v>
      </c>
      <c r="F33" s="102">
        <f t="shared" ref="F33" si="24">IF(OR(F31="",F32=""),"",F31+F32)</f>
        <v>206100</v>
      </c>
      <c r="G33" s="102">
        <f t="shared" ref="G33" si="25">IF(OR(G31="",G32=""),"",G31+G32)</f>
        <v>165200</v>
      </c>
      <c r="H33" s="102">
        <f t="shared" ref="H33" si="26">IF(OR(H31="",H32=""),"",H31+H32)</f>
        <v>0</v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627000</v>
      </c>
      <c r="D34" s="149">
        <f>IF(Inputs!D41="","",Inputs!D41)</f>
        <v>634700</v>
      </c>
      <c r="E34" s="149">
        <f>IF(Inputs!E41="","",Inputs!E41)</f>
        <v>678800</v>
      </c>
      <c r="F34" s="149">
        <f>IF(Inputs!F41="","",Inputs!F41)</f>
        <v>731100</v>
      </c>
      <c r="G34" s="149">
        <f>IF(Inputs!G41="","",Inputs!G41)</f>
        <v>601500</v>
      </c>
      <c r="H34" s="149">
        <f>IF(Inputs!H41="","",Inputs!H41)</f>
        <v>607000</v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>
        <f>IF(Inputs!D42="","",Inputs!D42)</f>
        <v>0</v>
      </c>
      <c r="E35" s="149">
        <f>IF(Inputs!E42="","",Inputs!E42)</f>
        <v>0</v>
      </c>
      <c r="F35" s="149">
        <f>IF(Inputs!F42="","",Inputs!F42)</f>
        <v>0</v>
      </c>
      <c r="G35" s="149">
        <f>IF(Inputs!G42="","",Inputs!G42)</f>
        <v>0</v>
      </c>
      <c r="H35" s="149">
        <f>IF(Inputs!H42="","",Inputs!H42)</f>
        <v>0</v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1436300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>
        <f>IF(C6="","",C14/MAX(C37,0))</f>
        <v>0.13708835201559563</v>
      </c>
      <c r="D38" s="154" t="e">
        <f>IF(D6="","",D14/MAX(D37,0))</f>
        <v>#DIV/0!</v>
      </c>
      <c r="E38" s="154" t="e">
        <f>IF(E6="","",E14/MAX(E37,0))</f>
        <v>#DIV/0!</v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230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0.70410588619098657</v>
      </c>
      <c r="D40" s="156">
        <f t="shared" si="34"/>
        <v>0.7173127537136994</v>
      </c>
      <c r="E40" s="156">
        <f t="shared" si="34"/>
        <v>0.71773887365534694</v>
      </c>
      <c r="F40" s="156">
        <f t="shared" si="34"/>
        <v>0.69371496016524048</v>
      </c>
      <c r="G40" s="156">
        <f t="shared" si="34"/>
        <v>0.69355806972985456</v>
      </c>
      <c r="H40" s="156">
        <f t="shared" si="34"/>
        <v>0.70562930755354092</v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0.20412918860977769</v>
      </c>
      <c r="D41" s="151">
        <f t="shared" si="35"/>
        <v>0.20292635053753846</v>
      </c>
      <c r="E41" s="151">
        <f t="shared" si="35"/>
        <v>0.19607677705125501</v>
      </c>
      <c r="F41" s="151">
        <f t="shared" si="35"/>
        <v>0.19584369599123214</v>
      </c>
      <c r="G41" s="151">
        <f t="shared" si="35"/>
        <v>0.20771184483952898</v>
      </c>
      <c r="H41" s="151">
        <f t="shared" si="35"/>
        <v>0.20773393773995097</v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>
        <f t="shared" si="36"/>
        <v>3.8726007171482807E-2</v>
      </c>
      <c r="F42" s="151">
        <f t="shared" si="36"/>
        <v>8.9364751506976342E-3</v>
      </c>
      <c r="G42" s="151">
        <f t="shared" si="36"/>
        <v>5.3105518356037868E-3</v>
      </c>
      <c r="H42" s="151">
        <f t="shared" si="36"/>
        <v>0</v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2.2836370415249105E-3</v>
      </c>
      <c r="D43" s="151">
        <f t="shared" si="37"/>
        <v>5.3530802515947716E-3</v>
      </c>
      <c r="E43" s="151">
        <f t="shared" si="37"/>
        <v>4.0497785277367644E-3</v>
      </c>
      <c r="F43" s="151">
        <f t="shared" si="37"/>
        <v>3.07718248113645E-3</v>
      </c>
      <c r="G43" s="151">
        <f t="shared" si="37"/>
        <v>3.417224659432002E-3</v>
      </c>
      <c r="H43" s="151">
        <f t="shared" si="37"/>
        <v>4.1630047643276746E-4</v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0</v>
      </c>
      <c r="D44" s="151">
        <f t="shared" si="38"/>
        <v>0</v>
      </c>
      <c r="E44" s="151">
        <f t="shared" si="38"/>
        <v>0</v>
      </c>
      <c r="F44" s="151">
        <f t="shared" si="38"/>
        <v>0</v>
      </c>
      <c r="G44" s="151">
        <f t="shared" si="38"/>
        <v>0</v>
      </c>
      <c r="H44" s="151">
        <f t="shared" si="38"/>
        <v>0</v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1.0719112643892435E-2</v>
      </c>
      <c r="D45" s="151">
        <f t="shared" si="39"/>
        <v>1.2758174599634206E-2</v>
      </c>
      <c r="E45" s="151">
        <f t="shared" si="39"/>
        <v>1.2107150390213033E-2</v>
      </c>
      <c r="F45" s="151">
        <f t="shared" si="39"/>
        <v>4.1731652826371059E-3</v>
      </c>
      <c r="G45" s="151">
        <f t="shared" si="39"/>
        <v>1.1082890787347033E-2</v>
      </c>
      <c r="H45" s="151">
        <f t="shared" si="39"/>
        <v>3.2378925944770805E-4</v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7.8762175513818339E-2</v>
      </c>
      <c r="D46" s="289">
        <f t="shared" si="40"/>
        <v>6.1649640897533123E-2</v>
      </c>
      <c r="E46" s="289">
        <f t="shared" si="40"/>
        <v>3.1301413203965407E-2</v>
      </c>
      <c r="F46" s="289">
        <f t="shared" si="40"/>
        <v>9.4254520929056188E-2</v>
      </c>
      <c r="G46" s="289">
        <f t="shared" si="40"/>
        <v>7.8919418148233667E-2</v>
      </c>
      <c r="H46" s="289">
        <f t="shared" si="40"/>
        <v>8.5896664970627687E-2</v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231</v>
      </c>
      <c r="C47" s="157" t="s">
        <v>248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237</v>
      </c>
      <c r="C48" s="159">
        <f t="shared" ref="C48:M48" si="41">IF(C6="","",C6/C27)</f>
        <v>1.4939079579475041</v>
      </c>
      <c r="D48" s="159">
        <f t="shared" si="41"/>
        <v>1.700318567961165</v>
      </c>
      <c r="E48" s="159">
        <f t="shared" si="41"/>
        <v>1.813973063973064</v>
      </c>
      <c r="F48" s="159">
        <f t="shared" si="41"/>
        <v>1.8916354357706722</v>
      </c>
      <c r="G48" s="159">
        <f t="shared" si="41"/>
        <v>2.0754264903201074</v>
      </c>
      <c r="H48" s="159">
        <f t="shared" si="41"/>
        <v>1.9952930318412552</v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238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239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229</v>
      </c>
      <c r="C51" s="151">
        <f t="shared" ref="C51:M51" si="44">IF(D6="","",C16/(C6-D6))</f>
        <v>1.2281250000000001</v>
      </c>
      <c r="D51" s="151">
        <f t="shared" si="44"/>
        <v>0.26785714285714296</v>
      </c>
      <c r="E51" s="151">
        <f t="shared" si="44"/>
        <v>-51</v>
      </c>
      <c r="F51" s="151">
        <f t="shared" si="44"/>
        <v>0.1025145067698259</v>
      </c>
      <c r="G51" s="151">
        <f t="shared" si="44"/>
        <v>3.1944444444444446</v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232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233</v>
      </c>
      <c r="C53" s="156">
        <f t="shared" ref="C53:M53" si="45">IF(C34="","",(C34-C35)/C27)</f>
        <v>0.43653832764742739</v>
      </c>
      <c r="D53" s="156">
        <f t="shared" si="45"/>
        <v>0.48141686893203883</v>
      </c>
      <c r="E53" s="156">
        <f t="shared" si="45"/>
        <v>0.51943679216406491</v>
      </c>
      <c r="F53" s="156">
        <f t="shared" si="45"/>
        <v>0.58296786540148315</v>
      </c>
      <c r="G53" s="156">
        <f t="shared" si="45"/>
        <v>0.57648073605520411</v>
      </c>
      <c r="H53" s="156">
        <f t="shared" si="45"/>
        <v>0.56022150438394092</v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>
        <f t="shared" si="46"/>
        <v>0.37645865043125315</v>
      </c>
      <c r="F54" s="160">
        <f t="shared" si="46"/>
        <v>1.0849102377486657</v>
      </c>
      <c r="G54" s="160">
        <f t="shared" si="46"/>
        <v>1.0345036319612591</v>
      </c>
      <c r="H54" s="160" t="str">
        <f t="shared" si="46"/>
        <v>-</v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2.8994082840236687E-2</v>
      </c>
      <c r="D55" s="151">
        <f t="shared" si="47"/>
        <v>8.6830680173661356E-2</v>
      </c>
      <c r="E55" s="151">
        <f t="shared" si="47"/>
        <v>0.1293800539083558</v>
      </c>
      <c r="F55" s="151">
        <f t="shared" si="47"/>
        <v>3.2647584973166367E-2</v>
      </c>
      <c r="G55" s="151">
        <f t="shared" si="47"/>
        <v>4.3300175541252192E-2</v>
      </c>
      <c r="H55" s="151">
        <f t="shared" si="47"/>
        <v>4.8465266558966073E-3</v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252</v>
      </c>
      <c r="C56" s="151">
        <f>IF(C34="","",IF(Inputs!C38=0,0,Inputs!C38/C27))</f>
        <v>0</v>
      </c>
      <c r="D56" s="151">
        <f>IF(D34="","",IF(Inputs!D38=0,0,Inputs!D38/D27))</f>
        <v>0</v>
      </c>
      <c r="E56" s="151">
        <f>IF(E34="","",IF(Inputs!E38=0,0,Inputs!E38/E27))</f>
        <v>0</v>
      </c>
      <c r="F56" s="151">
        <f>IF(F34="","",IF(Inputs!F38=0,0,Inputs!F38/F27))</f>
        <v>0</v>
      </c>
      <c r="G56" s="151">
        <f>IF(G34="","",IF(Inputs!G38=0,0,Inputs!G38/G27))</f>
        <v>0</v>
      </c>
      <c r="H56" s="151">
        <f>IF(H34="","",IF(Inputs!H38=0,0,Inputs!H38/H27))</f>
        <v>0</v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234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235</v>
      </c>
      <c r="C58" s="162">
        <f t="shared" ref="C58:M58" si="49">IF(C14="","",C14/(C34-C35))</f>
        <v>0.31403508771929822</v>
      </c>
      <c r="D58" s="162">
        <f t="shared" si="49"/>
        <v>0.2817078934929888</v>
      </c>
      <c r="E58" s="162">
        <f t="shared" si="49"/>
        <v>0.30097230406599884</v>
      </c>
      <c r="F58" s="162">
        <f t="shared" si="49"/>
        <v>0.35836410887703463</v>
      </c>
      <c r="G58" s="162">
        <f t="shared" si="49"/>
        <v>0.35544472152950957</v>
      </c>
      <c r="H58" s="162">
        <f t="shared" si="49"/>
        <v>0.30856672158154858</v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236</v>
      </c>
      <c r="C59" s="162">
        <f t="shared" ref="C59:M59" si="50">IF(C22="","",C22/(C34-C35))</f>
        <v>0.26953748006379585</v>
      </c>
      <c r="D59" s="162">
        <f t="shared" si="50"/>
        <v>0.21774066488104615</v>
      </c>
      <c r="E59" s="162">
        <f t="shared" si="50"/>
        <v>0.10931054802592811</v>
      </c>
      <c r="F59" s="162">
        <f t="shared" si="50"/>
        <v>0.30584051429353032</v>
      </c>
      <c r="G59" s="162">
        <f t="shared" si="50"/>
        <v>0.28412302576891107</v>
      </c>
      <c r="H59" s="162">
        <f t="shared" si="50"/>
        <v>0.30593080724876442</v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264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627000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627000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USD</v>
      </c>
      <c r="C6" s="3"/>
      <c r="D6" s="175">
        <f>(E49-I49-E53)</f>
        <v>-809300</v>
      </c>
      <c r="E6" s="176">
        <f>1-D6/D3</f>
        <v>2.290749601275917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263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276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809300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>
        <f>(E44+E45+E24+E25)/$I$49</f>
        <v>0</v>
      </c>
      <c r="J47" s="193" t="str">
        <f>IF(OR(I47&lt;0.5,C49&lt;I49),"Liquidity Issue!","")</f>
        <v>Liquidity Issue!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809300</v>
      </c>
      <c r="J48" s="193"/>
    </row>
    <row r="49" spans="2:11" ht="15" customHeight="1" thickTop="1" x14ac:dyDescent="0.35">
      <c r="B49" s="9" t="s">
        <v>13</v>
      </c>
      <c r="C49" s="190">
        <f>Inputs!C41+Inputs!C37</f>
        <v>1436300</v>
      </c>
      <c r="D49" s="176">
        <f>E49/C49</f>
        <v>0</v>
      </c>
      <c r="E49" s="182">
        <f>E28+E48</f>
        <v>0</v>
      </c>
      <c r="F49" s="3"/>
      <c r="G49" s="3"/>
      <c r="H49" s="9" t="s">
        <v>78</v>
      </c>
      <c r="I49" s="181">
        <f>Inputs!C37</f>
        <v>809300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262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16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17">
        <f>Inputs!C84</f>
        <v>0</v>
      </c>
      <c r="E57" s="316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17">
        <f>Inputs!C85</f>
        <v>0</v>
      </c>
      <c r="E58" s="316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255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256</v>
      </c>
      <c r="I61" s="209">
        <f>C99*Data!$C$4/Common_Shares</f>
        <v>-24.83221962085641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279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257</v>
      </c>
      <c r="I63" s="213">
        <f>IF(I61&gt;0,FV(I62,D93,0,-I61),I61)</f>
        <v>-24.83221962085641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258</v>
      </c>
      <c r="I64" s="213">
        <f>IF(I61&gt;0,PV(C94,D93,0,-I63),I61)</f>
        <v>-24.83221962085641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1436300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809300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627000</v>
      </c>
      <c r="D70" s="34">
        <f t="shared" si="2"/>
        <v>-1.290749601275917</v>
      </c>
      <c r="E70" s="208">
        <f>E68-E69</f>
        <v>-809300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45382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1000USD)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2145700</v>
      </c>
      <c r="D74" s="103"/>
      <c r="E74" s="262">
        <f>Inputs!E91</f>
        <v>2145700</v>
      </c>
      <c r="F74" s="103"/>
      <c r="H74" s="262">
        <f>Inputs!F91</f>
        <v>2145700</v>
      </c>
      <c r="I74" s="103"/>
      <c r="K74" s="75"/>
    </row>
    <row r="75" spans="1:11" ht="15" customHeight="1" x14ac:dyDescent="0.35">
      <c r="B75" s="105" t="s">
        <v>97</v>
      </c>
      <c r="C75" s="102">
        <f>Data!C8</f>
        <v>1510800</v>
      </c>
      <c r="D75" s="106">
        <f>C75/$C$74</f>
        <v>0.70410588619098657</v>
      </c>
      <c r="E75" s="262">
        <f>Inputs!E92</f>
        <v>1510800</v>
      </c>
      <c r="F75" s="217">
        <f>E75/E74</f>
        <v>0.70410588619098657</v>
      </c>
      <c r="H75" s="262">
        <f>Inputs!F92</f>
        <v>1510800</v>
      </c>
      <c r="I75" s="217">
        <f>H75/$H$74</f>
        <v>0.70410588619098657</v>
      </c>
      <c r="K75" s="75"/>
    </row>
    <row r="76" spans="1:11" ht="15" customHeight="1" x14ac:dyDescent="0.35">
      <c r="B76" s="12" t="s">
        <v>87</v>
      </c>
      <c r="C76" s="150">
        <f>C74-C75</f>
        <v>634900</v>
      </c>
      <c r="D76" s="218"/>
      <c r="E76" s="219">
        <f>E74-E75</f>
        <v>634900</v>
      </c>
      <c r="F76" s="218"/>
      <c r="H76" s="219">
        <f>H74-H75</f>
        <v>634900</v>
      </c>
      <c r="I76" s="218"/>
      <c r="K76" s="75"/>
    </row>
    <row r="77" spans="1:11" ht="15" customHeight="1" x14ac:dyDescent="0.35">
      <c r="B77" s="105" t="s">
        <v>218</v>
      </c>
      <c r="C77" s="102">
        <f>Data!C10+MAX(Data!C11,0)</f>
        <v>438000</v>
      </c>
      <c r="D77" s="106">
        <f>C77/$C$74</f>
        <v>0.20412918860977769</v>
      </c>
      <c r="E77" s="262">
        <f>Inputs!E93</f>
        <v>438000</v>
      </c>
      <c r="F77" s="217">
        <f>E77/E74</f>
        <v>0.20412918860977769</v>
      </c>
      <c r="H77" s="262">
        <f>Inputs!F93</f>
        <v>438000</v>
      </c>
      <c r="I77" s="217">
        <f>H77/$H$74</f>
        <v>0.20412918860977769</v>
      </c>
      <c r="K77" s="75"/>
    </row>
    <row r="78" spans="1:11" ht="15" customHeight="1" x14ac:dyDescent="0.35">
      <c r="B78" s="98" t="s">
        <v>152</v>
      </c>
      <c r="C78" s="102">
        <f>MAX(Data!C12,0)</f>
        <v>0</v>
      </c>
      <c r="D78" s="106">
        <f>C78/$C$74</f>
        <v>0</v>
      </c>
      <c r="E78" s="220">
        <f>E74*F78</f>
        <v>0</v>
      </c>
      <c r="F78" s="217">
        <f>I78</f>
        <v>0</v>
      </c>
      <c r="H78" s="262">
        <f>Inputs!F97</f>
        <v>0</v>
      </c>
      <c r="I78" s="217">
        <f>H78/$H$74</f>
        <v>0</v>
      </c>
      <c r="K78" s="75"/>
    </row>
    <row r="79" spans="1:11" ht="15" customHeight="1" x14ac:dyDescent="0.35">
      <c r="B79" s="221" t="s">
        <v>205</v>
      </c>
      <c r="C79" s="222">
        <f>C76-C77-C78</f>
        <v>196900</v>
      </c>
      <c r="D79" s="223">
        <f>C79/C74</f>
        <v>9.1764925199235681E-2</v>
      </c>
      <c r="E79" s="224">
        <f>E76-E77-E78</f>
        <v>196900</v>
      </c>
      <c r="F79" s="223">
        <f>E79/E74</f>
        <v>9.1764925199235681E-2</v>
      </c>
      <c r="G79" s="225"/>
      <c r="H79" s="224">
        <f>H76-H77-H78</f>
        <v>196900</v>
      </c>
      <c r="I79" s="223">
        <f>H79/H74</f>
        <v>9.1764925199235681E-2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224</v>
      </c>
      <c r="C81" s="102">
        <f>MAX(Data!C17,0)</f>
        <v>4900</v>
      </c>
      <c r="D81" s="106">
        <f>C81/$C$74</f>
        <v>2.2836370415249105E-3</v>
      </c>
      <c r="E81" s="220">
        <f>E74*F81</f>
        <v>4900.0000000000009</v>
      </c>
      <c r="F81" s="217">
        <f>I81</f>
        <v>2.2836370415249105E-3</v>
      </c>
      <c r="H81" s="262">
        <f>Inputs!F94</f>
        <v>4900.0000000000009</v>
      </c>
      <c r="I81" s="217">
        <f>H81/$H$74</f>
        <v>2.2836370415249105E-3</v>
      </c>
      <c r="K81" s="75"/>
    </row>
    <row r="82" spans="1:11" ht="15" customHeight="1" x14ac:dyDescent="0.35">
      <c r="B82" s="18" t="s">
        <v>217</v>
      </c>
      <c r="C82" s="102">
        <f>ABS(MAX(Data!C21,0)-MAX(Data!C19,0))</f>
        <v>23000</v>
      </c>
      <c r="D82" s="106">
        <f>C82/$C$74</f>
        <v>1.0719112643892435E-2</v>
      </c>
      <c r="E82" s="262">
        <f>Inputs!E95</f>
        <v>23000</v>
      </c>
      <c r="F82" s="217">
        <f>E82/E74</f>
        <v>1.0719112643892435E-2</v>
      </c>
      <c r="H82" s="262">
        <f>Inputs!F95</f>
        <v>23000</v>
      </c>
      <c r="I82" s="217">
        <f>H82/$H$74</f>
        <v>1.0719112643892435E-2</v>
      </c>
      <c r="K82" s="75"/>
    </row>
    <row r="83" spans="1:11" ht="15" customHeight="1" thickBot="1" x14ac:dyDescent="0.4">
      <c r="B83" s="227" t="s">
        <v>115</v>
      </c>
      <c r="C83" s="228">
        <f>C79-C81-C82-C80</f>
        <v>169000</v>
      </c>
      <c r="D83" s="229">
        <f>C83/$C$74</f>
        <v>7.8762175513818339E-2</v>
      </c>
      <c r="E83" s="230">
        <f>E79-E81-E82-E80</f>
        <v>169000</v>
      </c>
      <c r="F83" s="229">
        <f>E83/E74</f>
        <v>7.8762175513818339E-2</v>
      </c>
      <c r="H83" s="230">
        <f>H79-H81-H82-H80</f>
        <v>169000</v>
      </c>
      <c r="I83" s="229">
        <f>H83/$H$74</f>
        <v>7.8762175513818339E-2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0.23</v>
      </c>
      <c r="E84" s="232"/>
      <c r="F84" s="233">
        <f t="shared" ref="F84" si="3">I84</f>
        <v>0.23</v>
      </c>
      <c r="H84" s="232"/>
      <c r="I84" s="263">
        <f>Inputs!C16</f>
        <v>0.23</v>
      </c>
      <c r="K84" s="75"/>
    </row>
    <row r="85" spans="1:11" ht="15" customHeight="1" x14ac:dyDescent="0.35">
      <c r="B85" s="234" t="s">
        <v>148</v>
      </c>
      <c r="C85" s="222">
        <f>C83*(1-I84)</f>
        <v>130130</v>
      </c>
      <c r="D85" s="223">
        <f>C85/$C$74</f>
        <v>6.0646875145640121E-2</v>
      </c>
      <c r="E85" s="235">
        <f>E83*(1-F84)</f>
        <v>130130</v>
      </c>
      <c r="F85" s="223">
        <f>E85/E74</f>
        <v>6.0646875145640121E-2</v>
      </c>
      <c r="G85" s="225"/>
      <c r="H85" s="235">
        <f>H83*(1-I84)</f>
        <v>130130</v>
      </c>
      <c r="I85" s="223">
        <f>H85/$H$74</f>
        <v>6.0646875145640121E-2</v>
      </c>
      <c r="K85" s="75"/>
    </row>
    <row r="86" spans="1:11" ht="15" customHeight="1" x14ac:dyDescent="0.35">
      <c r="B86" s="3" t="s">
        <v>145</v>
      </c>
      <c r="C86" s="236">
        <f>C85*Data!C4/Common_Shares</f>
        <v>0.51420731741314341</v>
      </c>
      <c r="D86" s="103"/>
      <c r="E86" s="237">
        <f>E85*Data!C4/Common_Shares</f>
        <v>0.51420731741314341</v>
      </c>
      <c r="F86" s="103"/>
      <c r="H86" s="237">
        <f>H85*Data!C4/Common_Shares</f>
        <v>0.51420731741314341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7.6199503747514455E-2</v>
      </c>
      <c r="D87" s="103"/>
      <c r="E87" s="239">
        <f>E86*Exchange_Rate/Dashboard!G3</f>
        <v>7.6199503747514455E-2</v>
      </c>
      <c r="F87" s="103"/>
      <c r="H87" s="239">
        <f>H86*Exchange_Rate/Dashboard!G3</f>
        <v>7.6199503747514455E-2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0.65</v>
      </c>
      <c r="D88" s="241">
        <f>C88/C86</f>
        <v>1.2640815834165835</v>
      </c>
      <c r="E88" s="261">
        <f>Inputs!E98</f>
        <v>0.65</v>
      </c>
      <c r="F88" s="241">
        <f>E88/E86</f>
        <v>1.2640815834165835</v>
      </c>
      <c r="H88" s="261">
        <f>Inputs!F98</f>
        <v>0.65</v>
      </c>
      <c r="I88" s="241">
        <f>H88/H86</f>
        <v>1.2640815834165835</v>
      </c>
      <c r="K88" s="75"/>
    </row>
    <row r="89" spans="1:11" ht="15" customHeight="1" x14ac:dyDescent="0.35">
      <c r="B89" s="3" t="s">
        <v>195</v>
      </c>
      <c r="C89" s="238">
        <f>C88*Exchange_Rate/Dashboard!G3</f>
        <v>9.6322389352715962E-2</v>
      </c>
      <c r="D89" s="103"/>
      <c r="E89" s="238">
        <f>E88*Exchange_Rate/Dashboard!G3</f>
        <v>9.6322389352715962E-2</v>
      </c>
      <c r="F89" s="103"/>
      <c r="H89" s="238">
        <f>H88*Exchange_Rate/Dashboard!G3</f>
        <v>9.6322389352715962E-2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272</v>
      </c>
      <c r="C92" s="264" t="str">
        <f>Inputs!C15</f>
        <v>HK</v>
      </c>
      <c r="D92" s="88" t="s">
        <v>273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HK Discount Rate</v>
      </c>
      <c r="C93" s="242">
        <f>IF(C92="CN",Dashboard!C17,IF(C92="US",Dashboard!C12,IF(C92="HK",Dashboard!D12,Dashboard!D17)))</f>
        <v>7.5250000000000011E-2</v>
      </c>
      <c r="D93" s="259">
        <f>Dashboard!H20</f>
        <v>4</v>
      </c>
      <c r="E93" s="3" t="s">
        <v>184</v>
      </c>
      <c r="F93" s="243">
        <f>FV(E87,D93,0,-(E86/(C93-D94)))*Exchange_Rate</f>
        <v>96.944304087479452</v>
      </c>
      <c r="H93" s="3" t="s">
        <v>184</v>
      </c>
      <c r="I93" s="243">
        <f>FV(H87,D93,0,-(H86/(C93-D94)))*Exchange_Rate</f>
        <v>96.944304087479452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131.97126680205673</v>
      </c>
      <c r="H94" s="3" t="s">
        <v>185</v>
      </c>
      <c r="I94" s="243">
        <f>FV(H89,D93,0,-(H88/(C93-D94)))*Exchange_Rate</f>
        <v>131.97126680205673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14027171.706622997</v>
      </c>
      <c r="D97" s="250"/>
      <c r="E97" s="251">
        <f>PV(C94,D93,0,-F93)</f>
        <v>55.428220503774348</v>
      </c>
      <c r="F97" s="250"/>
      <c r="H97" s="251">
        <f>PV(C94,D93,0,-I93)</f>
        <v>55.428220503774348</v>
      </c>
      <c r="I97" s="251">
        <f>PV(C93,D93,0,-I93)</f>
        <v>72.524458109495754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-6284268.28991572</v>
      </c>
      <c r="D99" s="254"/>
      <c r="E99" s="255">
        <f>IF(H99&gt;0,I64,H99)</f>
        <v>-24.83221962085641</v>
      </c>
      <c r="F99" s="254"/>
      <c r="H99" s="255">
        <f>I64</f>
        <v>-24.83221962085641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26.006600750480246</v>
      </c>
      <c r="E100" s="257">
        <f>MAX(E97+H98+E99,0)</f>
        <v>30.596000882917938</v>
      </c>
      <c r="F100" s="257">
        <f>(E100+H100)/2</f>
        <v>30.596000882917938</v>
      </c>
      <c r="H100" s="257">
        <f>MAX(H97+H98+H99,0)</f>
        <v>30.596000882917938</v>
      </c>
      <c r="I100" s="257">
        <f>MAX(I97+H98+H99,0)</f>
        <v>47.692238488639347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274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64.136750101235066</v>
      </c>
      <c r="E103" s="251">
        <f>PV(C94,D93,0,-F94)</f>
        <v>75.455000119100077</v>
      </c>
      <c r="F103" s="257">
        <f>(E103+H103)/2</f>
        <v>75.455000119100077</v>
      </c>
      <c r="H103" s="251">
        <f>PV(C94,D93,0,-I94)</f>
        <v>75.455000119100077</v>
      </c>
      <c r="I103" s="257">
        <f>PV(C93,D93,0,-I94)</f>
        <v>98.728282191867137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45.071675425857656</v>
      </c>
      <c r="E106" s="251">
        <f>(E100+E103)/2</f>
        <v>53.025500501009006</v>
      </c>
      <c r="F106" s="257">
        <f>(F100+F103)/2</f>
        <v>53.025500501009006</v>
      </c>
      <c r="H106" s="251">
        <f>(H100+H103)/2</f>
        <v>53.025500501009006</v>
      </c>
      <c r="I106" s="251">
        <f>(I100+I103)/2</f>
        <v>73.210260340253242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275</v>
      </c>
      <c r="C108" s="265" t="str">
        <f>Inputs!C87</f>
        <v>Profit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267</v>
      </c>
      <c r="C2" s="1"/>
    </row>
    <row r="3" spans="2:3" x14ac:dyDescent="0.35">
      <c r="B3" s="62"/>
      <c r="C3" s="62"/>
    </row>
    <row r="4" spans="2:3" x14ac:dyDescent="0.35">
      <c r="B4" s="60" t="s">
        <v>265</v>
      </c>
      <c r="C4" s="61" t="s">
        <v>266</v>
      </c>
    </row>
    <row r="5" spans="2:3" x14ac:dyDescent="0.35">
      <c r="B5" s="60"/>
      <c r="C5" s="61"/>
    </row>
    <row r="6" spans="2:3" x14ac:dyDescent="0.35">
      <c r="B6" s="63" t="s">
        <v>268</v>
      </c>
      <c r="C6" s="64" t="s">
        <v>269</v>
      </c>
    </row>
    <row r="7" spans="2:3" x14ac:dyDescent="0.35">
      <c r="B7" s="63"/>
      <c r="C7" s="64"/>
    </row>
    <row r="8" spans="2:3" x14ac:dyDescent="0.35">
      <c r="B8" s="298"/>
      <c r="C8" s="65" t="s">
        <v>270</v>
      </c>
    </row>
    <row r="10" spans="2:3" x14ac:dyDescent="0.35">
      <c r="B10" s="291" t="s">
        <v>271</v>
      </c>
    </row>
    <row r="11" spans="2:3" x14ac:dyDescent="0.35">
      <c r="B11" s="292">
        <f>Inputs!C6</f>
        <v>45639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2024-12-27T08:35:37Z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