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779FD96-DB30-4B21-AA1E-6ED5A75B0DBD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27" i="4"/>
  <c r="C27" i="4"/>
  <c r="G2" i="1"/>
  <c r="F94" i="4" l="1"/>
  <c r="F95" i="4"/>
  <c r="E92" i="4"/>
  <c r="F97" i="4"/>
  <c r="F93" i="4"/>
  <c r="E95" i="4"/>
  <c r="F96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<sst xmlns="http://schemas.openxmlformats.org/spreadsheetml/2006/main" count="403" uniqueCount="288">
  <si>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</si>
  <si>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</si>
  <si>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</si>
  <si>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</si>
  <si>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</si>
  <si>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</si>
  <si>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</si>
  <si>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</si>
  <si>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</si>
  <si>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</si>
  <si>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</si>
  <si>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</si>
  <si>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</si>
  <si>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</si>
  <si>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</si>
  <si>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</si>
  <si>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</si>
  <si>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</si>
  <si>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</si>
  <si>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</si>
  <si>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</si>
  <si>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</si>
  <si>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</si>
  <si>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</si>
  <si>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</si>
  <si>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</si>
  <si>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</si>
  <si>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</si>
  <si>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</si>
  <si>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</si>
  <si>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</si>
  <si>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</si>
  <si>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</si>
  <si>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</si>
  <si>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</si>
  <si>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</si>
  <si>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</si>
  <si>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</si>
  <si>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</si>
  <si>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</si>
  <si>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</si>
  <si>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</si>
  <si>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</si>
  <si>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</si>
  <si>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</si>
  <si>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</si>
  <si>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</si>
  <si>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</si>
  <si>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</si>
  <si>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</si>
  <si>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</si>
  <si>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</si>
  <si>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</si>
  <si>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</si>
  <si>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</si>
  <si>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</si>
  <si>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</si>
  <si>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</si>
  <si>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</si>
  <si>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</si>
  <si>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</si>
  <si>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</si>
  <si>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</si>
  <si>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</si>
  <si>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</si>
  <si>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</si>
  <si>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</si>
  <si>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</si>
  <si>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</si>
  <si>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</si>
  <si>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</si>
  <si>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</si>
  <si>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</si>
  <si>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</si>
  <si>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</si>
  <si>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</si>
  <si>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</si>
  <si>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</si>
  <si>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</si>
  <si>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</si>
  <si>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</si>
  <si>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</si>
  <si>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</si>
  <si>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</si>
  <si>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</si>
  <si>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</si>
  <si>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</si>
  <si>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</si>
  <si>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</si>
  <si>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</si>
  <si>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</si>
  <si>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</si>
  <si>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</si>
  <si>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</si>
  <si>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</si>
  <si>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</si>
  <si>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</si>
  <si>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</si>
  <si>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</si>
  <si>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</si>
  <si>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</si>
  <si>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</si>
  <si>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</si>
  <si>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</si>
  <si>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</si>
  <si>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</si>
  <si>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</si>
  <si>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</si>
  <si>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</si>
  <si>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</si>
  <si>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</si>
  <si>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</si>
  <si>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</si>
  <si>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</si>
  <si>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</si>
  <si>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</si>
  <si>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</si>
  <si>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</si>
  <si>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</si>
  <si>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</si>
  <si>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</si>
  <si>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</si>
  <si>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</si>
  <si>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</si>
  <si>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</si>
  <si>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</si>
  <si>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</si>
  <si>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</si>
  <si>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</si>
  <si>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</si>
  <si>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</si>
  <si>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</si>
  <si>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</si>
  <si>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</si>
  <si>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</si>
  <si>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</si>
  <si>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</si>
  <si>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</si>
  <si>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</si>
  <si>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</si>
  <si>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</si>
  <si>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</si>
  <si>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</si>
  <si>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</si>
  <si>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</si>
  <si>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</si>
  <si>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</si>
  <si>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</si>
  <si>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</si>
  <si>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</si>
  <si>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</si>
  <si>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</si>
  <si>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</si>
  <si>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</si>
  <si>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</si>
  <si>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</si>
  <si>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</si>
  <si>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</si>
  <si>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</si>
  <si>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</si>
  <si>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</si>
  <si>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</si>
  <si>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</si>
  <si>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</si>
  <si>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</si>
  <si>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</si>
  <si>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</si>
  <si>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</si>
  <si>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</si>
  <si>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</si>
  <si>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</si>
  <si>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</si>
  <si>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</si>
  <si>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</si>
  <si>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</si>
  <si>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</si>
  <si>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</si>
  <si>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</si>
  <si>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</si>
  <si>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</si>
  <si>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</si>
  <si>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</si>
  <si>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</si>
  <si>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</si>
  <si>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</si>
  <si>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</si>
  <si>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</si>
  <si>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</si>
  <si>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</si>
  <si>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</si>
  <si>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</si>
  <si>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</si>
  <si>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</si>
  <si>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</si>
  <si>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</si>
  <si>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</si>
  <si>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</si>
  <si>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</si>
  <si>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</si>
  <si>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</si>
  <si>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</si>
  <si>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</si>
  <si>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</si>
  <si>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</si>
  <si>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</si>
  <si>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</si>
  <si>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</si>
  <si>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</si>
  <si>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</si>
  <si>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</si>
  <si>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</si>
  <si>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</si>
  <si>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</si>
  <si>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</si>
  <si>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</si>
  <si>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</si>
  <si>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</si>
  <si>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</si>
  <si>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</si>
  <si>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</si>
  <si>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</si>
  <si>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</si>
  <si>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</si>
  <si>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</si>
  <si>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</si>
  <si>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</si>
  <si>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</si>
  <si>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</si>
  <si>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</si>
  <si>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</si>
  <si>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</si>
  <si>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</si>
  <si>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</si>
  <si>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</si>
  <si>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</si>
  <si>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</si>
  <si>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</si>
  <si>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</si>
  <si>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</si>
  <si>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</si>
  <si>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</si>
  <si>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</si>
  <si>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</si>
  <si>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</si>
  <si>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</si>
  <si>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</si>
  <si>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</si>
  <si>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</si>
  <si>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</si>
  <si>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</si>
  <si>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</si>
  <si>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</si>
  <si>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</si>
  <si>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</si>
  <si>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</si>
  <si>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</si>
  <si>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</si>
  <si>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</si>
  <si>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</si>
  <si>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</si>
  <si>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</si>
  <si>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</si>
  <si>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</si>
  <si>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</si>
  <si>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</si>
  <si>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</si>
  <si>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</si>
  <si>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</si>
  <si>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</si>
  <si>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</si>
  <si>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</si>
  <si>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</si>
  <si>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</si>
  <si>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</si>
  <si>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</si>
  <si>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</si>
  <si>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</si>
  <si>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</si>
  <si>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</si>
  <si>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</si>
  <si>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Reinvest Nonop @</t>
    <phoneticPr fontId="3" type="noConversion"/>
  </si>
  <si>
    <t>PlaceHolder_5</t>
    <phoneticPr fontId="3" type="noConversion"/>
  </si>
  <si>
    <t>0639.HK</t>
  </si>
  <si>
    <t>首鋼資源</t>
  </si>
  <si>
    <t>Tier 3</t>
  </si>
  <si>
    <t>C0017</t>
  </si>
  <si>
    <t>disagree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</si>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</sst>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190</v>
      </c>
    </row>
    <row r="4" spans="1:5" x14ac:dyDescent="0.35">
      <c r="B4" s="46" t="s">
        <v>170</v>
      </c>
      <c r="C4" s="66" t="s">
        <v>282</v>
      </c>
      <c r="D4" s="66"/>
    </row>
    <row r="5" spans="1:5" x14ac:dyDescent="0.35">
      <c r="B5" s="46" t="s">
        <v>171</v>
      </c>
      <c r="C5" s="67" t="s">
        <v>283</v>
      </c>
    </row>
    <row r="6" spans="1:5" x14ac:dyDescent="0.35">
      <c r="B6" s="46" t="s">
        <v>272</v>
      </c>
      <c r="C6" s="68">
        <v>45639</v>
      </c>
    </row>
    <row r="7" spans="1:5" x14ac:dyDescent="0.35">
      <c r="B7" s="39" t="s">
        <v>4</v>
      </c>
      <c r="C7" s="130">
        <v>8</v>
      </c>
    </row>
    <row r="8" spans="1:5" x14ac:dyDescent="0.35">
      <c r="B8" s="39" t="s">
        <v>191</v>
      </c>
      <c r="C8" s="123" t="s">
        <v>284</v>
      </c>
    </row>
    <row r="9" spans="1:5" x14ac:dyDescent="0.35">
      <c r="B9" s="39" t="s">
        <v>192</v>
      </c>
      <c r="C9" s="124" t="s">
        <v>285</v>
      </c>
    </row>
    <row r="10" spans="1:5" x14ac:dyDescent="0.35">
      <c r="B10" s="39" t="s">
        <v>193</v>
      </c>
      <c r="C10" s="70">
        <v>5091065770</v>
      </c>
    </row>
    <row r="11" spans="1:5" x14ac:dyDescent="0.35">
      <c r="B11" s="39" t="s">
        <v>194</v>
      </c>
      <c r="C11" s="69" t="s">
        <v>2</v>
      </c>
    </row>
    <row r="12" spans="1:5" x14ac:dyDescent="0.35">
      <c r="B12" s="71" t="s">
        <v>10</v>
      </c>
      <c r="C12" s="72">
        <v>45291</v>
      </c>
    </row>
    <row r="13" spans="1:5" x14ac:dyDescent="0.35">
      <c r="B13" s="71" t="s">
        <v>11</v>
      </c>
      <c r="C13" s="73">
        <v>1000</v>
      </c>
    </row>
    <row r="14" spans="1:5" x14ac:dyDescent="0.35">
      <c r="B14" s="71" t="s">
        <v>195</v>
      </c>
      <c r="C14" s="72">
        <v>45473</v>
      </c>
    </row>
    <row r="15" spans="1:5" x14ac:dyDescent="0.35">
      <c r="B15" s="71" t="s">
        <v>224</v>
      </c>
      <c r="C15" s="122" t="s">
        <v>278</v>
      </c>
    </row>
    <row r="16" spans="1:5" x14ac:dyDescent="0.35">
      <c r="B16" s="74" t="s">
        <v>89</v>
      </c>
      <c r="C16" s="125">
        <v>0.25</v>
      </c>
      <c r="D16" s="75"/>
      <c r="E16" s="25" t="s">
        <v>255</v>
      </c>
    </row>
    <row r="17" spans="2:13" x14ac:dyDescent="0.35">
      <c r="B17" s="56" t="s">
        <v>199</v>
      </c>
      <c r="C17" s="126" t="s">
        <v>217</v>
      </c>
      <c r="D17" s="75"/>
    </row>
    <row r="18" spans="2:13" x14ac:dyDescent="0.35">
      <c r="B18" s="56" t="s">
        <v>212</v>
      </c>
      <c r="C18" s="126" t="s">
        <v>286</v>
      </c>
      <c r="D18" s="75"/>
    </row>
    <row r="19" spans="2:13" x14ac:dyDescent="0.35">
      <c r="B19" s="56" t="s">
        <v>213</v>
      </c>
      <c r="C19" s="126" t="s">
        <v>286</v>
      </c>
      <c r="D19" s="75"/>
    </row>
    <row r="20" spans="2:13" x14ac:dyDescent="0.35">
      <c r="B20" s="57" t="s">
        <v>202</v>
      </c>
      <c r="C20" s="126" t="s">
        <v>286</v>
      </c>
      <c r="D20" s="75"/>
    </row>
    <row r="21" spans="2:13" x14ac:dyDescent="0.35">
      <c r="B21" s="2" t="s">
        <v>205</v>
      </c>
      <c r="C21" s="126" t="s">
        <v>217</v>
      </c>
      <c r="D21" s="75"/>
    </row>
    <row r="22" spans="2:13" ht="69.75" x14ac:dyDescent="0.35">
      <c r="B22" s="59" t="s">
        <v>204</v>
      </c>
      <c r="C22" s="127" t="s">
        <v>279</v>
      </c>
      <c r="D22" s="75"/>
    </row>
    <row r="24" spans="2:13" x14ac:dyDescent="0.35">
      <c r="B24" s="76" t="s">
        <v>124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12</v>
      </c>
      <c r="C25" s="80">
        <v>5891068</v>
      </c>
      <c r="D25" s="80">
        <v>8214719</v>
      </c>
      <c r="E25" s="80">
        <v>7075818</v>
      </c>
      <c r="F25" s="80">
        <v>3996951</v>
      </c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98</v>
      </c>
      <c r="C26" s="82">
        <v>2425040</v>
      </c>
      <c r="D26" s="82">
        <v>2925125</v>
      </c>
      <c r="E26" s="82">
        <v>2681244</v>
      </c>
      <c r="F26" s="82">
        <v>2127744</v>
      </c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96</v>
      </c>
      <c r="C27" s="82">
        <f>415858+9934</f>
        <v>425792</v>
      </c>
      <c r="D27" s="82">
        <f>556324+118037</f>
        <v>674361</v>
      </c>
      <c r="E27" s="82">
        <v>477644</v>
      </c>
      <c r="F27" s="82">
        <v>498500</v>
      </c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99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225</v>
      </c>
      <c r="C29" s="82">
        <v>2921</v>
      </c>
      <c r="D29" s="82">
        <v>1360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103</v>
      </c>
      <c r="C30" s="82">
        <v>346446</v>
      </c>
      <c r="D30" s="82">
        <v>457540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102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97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100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247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108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137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246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252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17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18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128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129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127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183</v>
      </c>
      <c r="C44" s="86">
        <f>0.18+0.1</f>
        <v>0.28000000000000003</v>
      </c>
      <c r="D44" s="86">
        <f>0.28+0.15</f>
        <v>0.43000000000000005</v>
      </c>
      <c r="E44" s="86">
        <f>0.32+0.08</f>
        <v>0.4</v>
      </c>
      <c r="F44" s="86">
        <f>0.09+0.075</f>
        <v>0.16499999999999998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221</v>
      </c>
      <c r="C45" s="87">
        <f>IF(C44="","",C44*Exchange_Rate/Dashboard!$G$3)</f>
        <v>0.10980392156862746</v>
      </c>
      <c r="D45" s="87">
        <f>IF(D44="","",D44*Exchange_Rate/Dashboard!$G$3)</f>
        <v>0.1686274509803922</v>
      </c>
      <c r="E45" s="87">
        <f>IF(E44="","",E44*Exchange_Rate/Dashboard!$G$3)</f>
        <v>0.15686274509803924</v>
      </c>
      <c r="F45" s="87">
        <f>IF(F44="","",F44*Exchange_Rate/Dashboard!$G$3)</f>
        <v>6.4705882352941169E-2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28</v>
      </c>
      <c r="D47" s="89" t="s">
        <v>172</v>
      </c>
      <c r="E47" s="90" t="s">
        <v>30</v>
      </c>
    </row>
    <row r="48" spans="2:13" x14ac:dyDescent="0.35">
      <c r="B48" s="9" t="s">
        <v>31</v>
      </c>
      <c r="C48" s="91"/>
      <c r="D48" s="114">
        <v>0.9</v>
      </c>
      <c r="E48" s="266"/>
    </row>
    <row r="49" spans="2:5" x14ac:dyDescent="0.35">
      <c r="B49" s="2" t="s">
        <v>126</v>
      </c>
      <c r="C49" s="91"/>
      <c r="D49" s="114">
        <v>0.8</v>
      </c>
      <c r="E49" s="266"/>
    </row>
    <row r="50" spans="2:5" x14ac:dyDescent="0.35">
      <c r="B50" s="9" t="s">
        <v>108</v>
      </c>
      <c r="C50" s="91"/>
      <c r="D50" s="114">
        <f>D51</f>
        <v>0.6</v>
      </c>
      <c r="E50" s="266"/>
    </row>
    <row r="51" spans="2:5" x14ac:dyDescent="0.35">
      <c r="B51" s="9" t="s">
        <v>35</v>
      </c>
      <c r="C51" s="91"/>
      <c r="D51" s="114">
        <v>0.6</v>
      </c>
      <c r="E51" s="266"/>
    </row>
    <row r="52" spans="2:5" x14ac:dyDescent="0.35">
      <c r="B52" s="9" t="s">
        <v>37</v>
      </c>
      <c r="C52" s="91"/>
      <c r="D52" s="114">
        <v>0.5</v>
      </c>
      <c r="E52" s="266"/>
    </row>
    <row r="53" spans="2:5" x14ac:dyDescent="0.35">
      <c r="B53" s="2" t="s">
        <v>144</v>
      </c>
      <c r="C53" s="91"/>
      <c r="D53" s="114">
        <f>D50</f>
        <v>0.6</v>
      </c>
      <c r="E53" s="266"/>
    </row>
    <row r="54" spans="2:5" x14ac:dyDescent="0.35">
      <c r="B54" s="9" t="s">
        <v>229</v>
      </c>
      <c r="C54" s="91"/>
      <c r="D54" s="114">
        <v>0.1</v>
      </c>
      <c r="E54" s="266"/>
    </row>
    <row r="55" spans="2:5" x14ac:dyDescent="0.35">
      <c r="B55" s="9" t="s">
        <v>40</v>
      </c>
      <c r="C55" s="91"/>
      <c r="D55" s="114">
        <f>D52</f>
        <v>0.5</v>
      </c>
      <c r="E55" s="266"/>
    </row>
    <row r="56" spans="2:5" x14ac:dyDescent="0.35">
      <c r="B56" s="2" t="s">
        <v>41</v>
      </c>
      <c r="C56" s="91"/>
      <c r="D56" s="114">
        <f>D50</f>
        <v>0.6</v>
      </c>
      <c r="E56" s="267" t="s">
        <v>64</v>
      </c>
    </row>
    <row r="57" spans="2:5" x14ac:dyDescent="0.35">
      <c r="B57" s="9" t="s">
        <v>111</v>
      </c>
      <c r="C57" s="91"/>
      <c r="D57" s="114">
        <v>0.6</v>
      </c>
      <c r="E57" s="267" t="s">
        <v>39</v>
      </c>
    </row>
    <row r="58" spans="2:5" x14ac:dyDescent="0.35">
      <c r="B58" s="9" t="s">
        <v>43</v>
      </c>
      <c r="C58" s="91"/>
      <c r="D58" s="114">
        <f>D48</f>
        <v>0.9</v>
      </c>
      <c r="E58" s="266"/>
    </row>
    <row r="59" spans="2:5" x14ac:dyDescent="0.35">
      <c r="B59" s="12" t="s">
        <v>44</v>
      </c>
      <c r="C59" s="93"/>
      <c r="D59" s="115">
        <f>D70</f>
        <v>0.05</v>
      </c>
      <c r="E59" s="266"/>
    </row>
    <row r="60" spans="2:5" x14ac:dyDescent="0.35">
      <c r="B60" s="9" t="s">
        <v>54</v>
      </c>
      <c r="C60" s="91"/>
      <c r="D60" s="114">
        <f>D49</f>
        <v>0.8</v>
      </c>
      <c r="E60" s="266"/>
    </row>
    <row r="61" spans="2:5" x14ac:dyDescent="0.35">
      <c r="B61" s="9" t="s">
        <v>56</v>
      </c>
      <c r="C61" s="91"/>
      <c r="D61" s="114">
        <f>D51</f>
        <v>0.6</v>
      </c>
      <c r="E61" s="266"/>
    </row>
    <row r="62" spans="2:5" x14ac:dyDescent="0.35">
      <c r="B62" s="9" t="s">
        <v>58</v>
      </c>
      <c r="C62" s="91"/>
      <c r="D62" s="114">
        <f>D52</f>
        <v>0.5</v>
      </c>
      <c r="E62" s="266"/>
    </row>
    <row r="63" spans="2:5" x14ac:dyDescent="0.35">
      <c r="B63" s="2" t="s">
        <v>145</v>
      </c>
      <c r="C63" s="91"/>
      <c r="D63" s="114">
        <f>D62</f>
        <v>0.5</v>
      </c>
      <c r="E63" s="266"/>
    </row>
    <row r="64" spans="2:5" x14ac:dyDescent="0.35">
      <c r="B64" s="9" t="s">
        <v>228</v>
      </c>
      <c r="C64" s="91"/>
      <c r="D64" s="114">
        <v>0.4</v>
      </c>
      <c r="E64" s="266"/>
    </row>
    <row r="65" spans="2:5" x14ac:dyDescent="0.35">
      <c r="B65" s="9" t="s">
        <v>63</v>
      </c>
      <c r="C65" s="91"/>
      <c r="D65" s="114">
        <v>0.1</v>
      </c>
      <c r="E65" s="267" t="s">
        <v>64</v>
      </c>
    </row>
    <row r="66" spans="2:5" x14ac:dyDescent="0.35">
      <c r="B66" s="9" t="s">
        <v>65</v>
      </c>
      <c r="C66" s="91"/>
      <c r="D66" s="114">
        <v>0.2</v>
      </c>
      <c r="E66" s="267" t="s">
        <v>64</v>
      </c>
    </row>
    <row r="67" spans="2:5" x14ac:dyDescent="0.35">
      <c r="B67" s="2" t="s">
        <v>42</v>
      </c>
      <c r="C67" s="91"/>
      <c r="D67" s="114">
        <f>D65</f>
        <v>0.1</v>
      </c>
      <c r="E67" s="267" t="s">
        <v>39</v>
      </c>
    </row>
    <row r="68" spans="2:5" x14ac:dyDescent="0.35">
      <c r="B68" s="9" t="s">
        <v>110</v>
      </c>
      <c r="C68" s="91"/>
      <c r="D68" s="114">
        <f>D65</f>
        <v>0.1</v>
      </c>
      <c r="E68" s="266"/>
    </row>
    <row r="69" spans="2:5" x14ac:dyDescent="0.35">
      <c r="B69" s="9" t="s">
        <v>66</v>
      </c>
      <c r="C69" s="91"/>
      <c r="D69" s="114">
        <f>D70</f>
        <v>0.05</v>
      </c>
      <c r="E69" s="266"/>
    </row>
    <row r="70" spans="2:5" x14ac:dyDescent="0.35">
      <c r="B70" s="9" t="s">
        <v>67</v>
      </c>
      <c r="C70" s="91"/>
      <c r="D70" s="114">
        <v>0.05</v>
      </c>
      <c r="E70" s="266"/>
    </row>
    <row r="71" spans="2:5" x14ac:dyDescent="0.35">
      <c r="B71" s="9" t="s">
        <v>68</v>
      </c>
      <c r="C71" s="91"/>
      <c r="D71" s="114">
        <f>D58</f>
        <v>0.9</v>
      </c>
      <c r="E71" s="266"/>
    </row>
    <row r="72" spans="2:5" ht="12" thickBot="1" x14ac:dyDescent="0.4">
      <c r="B72" s="94" t="s">
        <v>69</v>
      </c>
      <c r="C72" s="95"/>
      <c r="D72" s="116">
        <v>0</v>
      </c>
      <c r="E72" s="268"/>
    </row>
    <row r="73" spans="2:5" x14ac:dyDescent="0.35">
      <c r="B73" s="9" t="s">
        <v>32</v>
      </c>
      <c r="C73" s="91"/>
    </row>
    <row r="74" spans="2:5" x14ac:dyDescent="0.35">
      <c r="B74" s="9" t="s">
        <v>33</v>
      </c>
      <c r="C74" s="91"/>
    </row>
    <row r="75" spans="2:5" x14ac:dyDescent="0.35">
      <c r="B75" s="9" t="s">
        <v>34</v>
      </c>
      <c r="C75" s="91"/>
    </row>
    <row r="76" spans="2:5" x14ac:dyDescent="0.35">
      <c r="B76" s="8" t="s">
        <v>36</v>
      </c>
      <c r="C76" s="93"/>
    </row>
    <row r="77" spans="2:5" ht="12" thickBot="1" x14ac:dyDescent="0.4">
      <c r="B77" s="96" t="s">
        <v>16</v>
      </c>
      <c r="C77" s="97"/>
    </row>
    <row r="78" spans="2:5" ht="12" thickTop="1" x14ac:dyDescent="0.35">
      <c r="B78" s="9" t="s">
        <v>55</v>
      </c>
      <c r="C78" s="91"/>
    </row>
    <row r="79" spans="2:5" x14ac:dyDescent="0.35">
      <c r="B79" s="9" t="s">
        <v>57</v>
      </c>
      <c r="C79" s="91"/>
    </row>
    <row r="80" spans="2:5" x14ac:dyDescent="0.35">
      <c r="B80" s="9" t="s">
        <v>59</v>
      </c>
      <c r="C80" s="91"/>
    </row>
    <row r="81" spans="2:8" x14ac:dyDescent="0.35">
      <c r="B81" s="8" t="s">
        <v>60</v>
      </c>
      <c r="C81" s="93"/>
    </row>
    <row r="82" spans="2:8" ht="12" hidden="1" thickBot="1" x14ac:dyDescent="0.4">
      <c r="B82" s="96" t="s">
        <v>250</v>
      </c>
      <c r="C82" s="84"/>
    </row>
    <row r="83" spans="2:8" ht="12" hidden="1" thickTop="1" x14ac:dyDescent="0.35">
      <c r="B83" s="98" t="s">
        <v>251</v>
      </c>
      <c r="C83" s="84"/>
    </row>
    <row r="84" spans="2:8" x14ac:dyDescent="0.35">
      <c r="B84" s="56" t="s">
        <v>83</v>
      </c>
      <c r="C84" s="91"/>
    </row>
    <row r="85" spans="2:8" x14ac:dyDescent="0.35">
      <c r="B85" s="56" t="s">
        <v>85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220</v>
      </c>
      <c r="C87" s="112" t="s">
        <v>287</v>
      </c>
      <c r="D87" s="113">
        <v>0.02</v>
      </c>
    </row>
    <row r="89" spans="2:8" x14ac:dyDescent="0.35">
      <c r="B89" s="99" t="s">
        <v>118</v>
      </c>
      <c r="C89" s="309">
        <f>C24</f>
        <v>45291</v>
      </c>
      <c r="D89" s="309"/>
      <c r="E89" s="49" t="s">
        <v>182</v>
      </c>
      <c r="F89" s="49" t="s">
        <v>181</v>
      </c>
      <c r="H89" s="100"/>
    </row>
    <row r="90" spans="2:8" x14ac:dyDescent="0.35">
      <c r="B90" s="101" t="str">
        <f>"(Numbers in "&amp;Data!C4&amp;Dashboard!G6&amp;")"</f>
        <v>(Numbers in 1000HKD)</v>
      </c>
      <c r="C90" s="310" t="s">
        <v>93</v>
      </c>
      <c r="D90" s="310"/>
      <c r="E90" s="296" t="s">
        <v>94</v>
      </c>
      <c r="F90" s="297" t="s">
        <v>94</v>
      </c>
    </row>
    <row r="91" spans="2:8" x14ac:dyDescent="0.35">
      <c r="B91" s="9" t="s">
        <v>117</v>
      </c>
      <c r="C91" s="102">
        <f>C25</f>
        <v>5891068</v>
      </c>
      <c r="D91" s="103"/>
      <c r="E91" s="104">
        <f>C91</f>
        <v>5891068</v>
      </c>
      <c r="F91" s="104">
        <f>C91</f>
        <v>5891068</v>
      </c>
    </row>
    <row r="92" spans="2:8" x14ac:dyDescent="0.35">
      <c r="B92" s="105" t="s">
        <v>98</v>
      </c>
      <c r="C92" s="102">
        <f>C26</f>
        <v>2425040</v>
      </c>
      <c r="D92" s="106">
        <f>C92/C91</f>
        <v>0.41164692038862905</v>
      </c>
      <c r="E92" s="107">
        <f>E91*D92</f>
        <v>2425040</v>
      </c>
      <c r="F92" s="107">
        <f>F91*D92</f>
        <v>2425040</v>
      </c>
    </row>
    <row r="93" spans="2:8" x14ac:dyDescent="0.35">
      <c r="B93" s="105" t="s">
        <v>219</v>
      </c>
      <c r="C93" s="102">
        <f>C27+C28</f>
        <v>425792</v>
      </c>
      <c r="D93" s="106">
        <f>C93/C91</f>
        <v>7.227755646344601E-2</v>
      </c>
      <c r="E93" s="107">
        <f>E91*D93</f>
        <v>425791.99999999994</v>
      </c>
      <c r="F93" s="107">
        <f>F91*D93</f>
        <v>425791.99999999994</v>
      </c>
    </row>
    <row r="94" spans="2:8" x14ac:dyDescent="0.35">
      <c r="B94" s="105" t="s">
        <v>225</v>
      </c>
      <c r="C94" s="102">
        <f>C29</f>
        <v>2921</v>
      </c>
      <c r="D94" s="106">
        <f>C94/C91</f>
        <v>4.9583539011941466E-4</v>
      </c>
      <c r="E94" s="108"/>
      <c r="F94" s="107">
        <f>F91*D94</f>
        <v>2921</v>
      </c>
    </row>
    <row r="95" spans="2:8" x14ac:dyDescent="0.35">
      <c r="B95" s="18" t="s">
        <v>218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102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153</v>
      </c>
      <c r="C97" s="102">
        <f>MAX(C30,0)/(1-C16)</f>
        <v>461928</v>
      </c>
      <c r="D97" s="106">
        <f>C97/C91</f>
        <v>7.8411588526902082E-2</v>
      </c>
      <c r="E97" s="108"/>
      <c r="F97" s="107">
        <f>F91*D97</f>
        <v>461928</v>
      </c>
    </row>
    <row r="98" spans="2:6" x14ac:dyDescent="0.35">
      <c r="B98" s="8" t="s">
        <v>183</v>
      </c>
      <c r="C98" s="109">
        <f>C44</f>
        <v>0.28000000000000003</v>
      </c>
      <c r="D98" s="110"/>
      <c r="E98" s="111">
        <f>F98</f>
        <v>0.16499999999999998</v>
      </c>
      <c r="F98" s="111">
        <f>F44</f>
        <v>0.16499999999999998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0639.HK : 首鋼資源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170</v>
      </c>
      <c r="C3" s="311" t="str">
        <f>Inputs!C4</f>
        <v>0639.HK</v>
      </c>
      <c r="D3" s="312"/>
      <c r="E3" s="3"/>
      <c r="F3" s="9" t="s">
        <v>1</v>
      </c>
      <c r="G3" s="10">
        <v>2.5499999999999998</v>
      </c>
      <c r="H3" s="11" t="s">
        <v>260</v>
      </c>
    </row>
    <row r="4" spans="1:10" ht="15.75" customHeight="1" x14ac:dyDescent="0.35">
      <c r="B4" s="12" t="s">
        <v>171</v>
      </c>
      <c r="C4" s="313" t="str">
        <f>Inputs!C5</f>
        <v>首鋼資源</v>
      </c>
      <c r="D4" s="314"/>
      <c r="E4" s="3"/>
      <c r="F4" s="9" t="s">
        <v>3</v>
      </c>
      <c r="G4" s="317">
        <f>Inputs!C10</f>
        <v>5091065770</v>
      </c>
      <c r="H4" s="317"/>
      <c r="I4" s="14"/>
    </row>
    <row r="5" spans="1:10" ht="15.75" customHeight="1" x14ac:dyDescent="0.35">
      <c r="B5" s="9" t="s">
        <v>148</v>
      </c>
      <c r="C5" s="315">
        <f>Inputs!C6</f>
        <v>45639</v>
      </c>
      <c r="D5" s="316"/>
      <c r="E5" s="16"/>
      <c r="F5" s="12" t="s">
        <v>92</v>
      </c>
      <c r="G5" s="320">
        <f>G3*G4/1000000</f>
        <v>12982.2177135</v>
      </c>
      <c r="H5" s="320"/>
      <c r="I5" s="17"/>
      <c r="J5" s="18"/>
    </row>
    <row r="6" spans="1:10" ht="15.75" customHeight="1" x14ac:dyDescent="0.35">
      <c r="B6" s="3" t="s">
        <v>4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5</v>
      </c>
      <c r="G6" s="321" t="str">
        <f>Inputs!C11</f>
        <v>HKD</v>
      </c>
      <c r="H6" s="321"/>
      <c r="I6" s="17"/>
    </row>
    <row r="7" spans="1:10" ht="15.75" customHeight="1" x14ac:dyDescent="0.35">
      <c r="B7" s="8" t="s">
        <v>168</v>
      </c>
      <c r="C7" s="128" t="str">
        <f>Inputs!C8</f>
        <v>Tier 3</v>
      </c>
      <c r="D7" s="128" t="str">
        <f>Inputs!C9</f>
        <v>C0017</v>
      </c>
      <c r="E7" s="3"/>
      <c r="F7" s="12" t="s">
        <v>6</v>
      </c>
      <c r="G7" s="21">
        <v>1</v>
      </c>
      <c r="H7" s="22" t="str">
        <f>IF(G6=Dashboard!H3,H3,G6&amp;"/"&amp;Dashboard!H3)</f>
        <v>HKD</v>
      </c>
    </row>
    <row r="8" spans="1:10" ht="15.75" customHeight="1" x14ac:dyDescent="0.35"/>
    <row r="9" spans="1:10" ht="15.75" customHeight="1" x14ac:dyDescent="0.35">
      <c r="B9" s="88" t="s">
        <v>261</v>
      </c>
      <c r="C9" s="293"/>
      <c r="D9" s="293"/>
      <c r="F9" s="23" t="s">
        <v>163</v>
      </c>
    </row>
    <row r="10" spans="1:10" ht="15.75" customHeight="1" x14ac:dyDescent="0.35">
      <c r="B10" s="2" t="s">
        <v>155</v>
      </c>
      <c r="C10" s="24">
        <v>4.2000000000000003E-2</v>
      </c>
      <c r="F10" s="25" t="s">
        <v>162</v>
      </c>
    </row>
    <row r="11" spans="1:10" ht="15.75" customHeight="1" thickBot="1" x14ac:dyDescent="0.4">
      <c r="B11" s="26" t="s">
        <v>159</v>
      </c>
      <c r="C11" s="27">
        <v>5.2299999999999999E-2</v>
      </c>
      <c r="D11" s="28" t="s">
        <v>167</v>
      </c>
      <c r="F11" s="25" t="s">
        <v>157</v>
      </c>
    </row>
    <row r="12" spans="1:10" ht="15.75" customHeight="1" thickTop="1" x14ac:dyDescent="0.35">
      <c r="B12" s="3" t="s">
        <v>222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156</v>
      </c>
      <c r="C14" s="24">
        <v>1.8100000000000002E-2</v>
      </c>
      <c r="F14" s="25" t="s">
        <v>161</v>
      </c>
    </row>
    <row r="15" spans="1:10" ht="15.75" customHeight="1" x14ac:dyDescent="0.35">
      <c r="B15" s="2" t="s">
        <v>164</v>
      </c>
      <c r="C15" s="24">
        <v>6.5000000000000002E-2</v>
      </c>
      <c r="F15" s="25" t="s">
        <v>160</v>
      </c>
    </row>
    <row r="16" spans="1:10" ht="15.75" customHeight="1" thickBot="1" x14ac:dyDescent="0.4">
      <c r="B16" s="26" t="s">
        <v>165</v>
      </c>
      <c r="C16" s="27">
        <v>0.16</v>
      </c>
      <c r="D16" s="29" t="str">
        <f>Inputs!C15</f>
        <v>CN</v>
      </c>
      <c r="F16" s="25" t="s">
        <v>158</v>
      </c>
    </row>
    <row r="17" spans="1:8" ht="15.75" customHeight="1" thickTop="1" x14ac:dyDescent="0.35">
      <c r="B17" s="3" t="s">
        <v>223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245</v>
      </c>
      <c r="C19" s="293"/>
      <c r="D19" s="293"/>
      <c r="E19" s="3"/>
      <c r="F19" s="88" t="s">
        <v>188</v>
      </c>
      <c r="G19" s="293"/>
      <c r="H19" s="293"/>
    </row>
    <row r="20" spans="1:8" ht="15.75" customHeight="1" thickBot="1" x14ac:dyDescent="0.4">
      <c r="B20" s="30" t="s">
        <v>236</v>
      </c>
      <c r="C20" s="31" t="e">
        <f>C21*C22*C23</f>
        <v>#DIV/0!</v>
      </c>
      <c r="F20" s="3" t="s">
        <v>187</v>
      </c>
      <c r="G20" s="121">
        <v>0.15</v>
      </c>
      <c r="H20" s="307">
        <v>4</v>
      </c>
    </row>
    <row r="21" spans="1:8" ht="15.75" customHeight="1" thickTop="1" x14ac:dyDescent="0.35">
      <c r="B21" s="32" t="s">
        <v>241</v>
      </c>
      <c r="C21" s="33">
        <f>Data!C13</f>
        <v>0.43766393462102288</v>
      </c>
      <c r="F21" s="3"/>
      <c r="G21" s="34"/>
    </row>
    <row r="22" spans="1:8" ht="15.75" customHeight="1" x14ac:dyDescent="0.35">
      <c r="B22" s="35" t="s">
        <v>248</v>
      </c>
      <c r="C22" s="36" t="e">
        <f>Data!C48</f>
        <v>#DIV/0!</v>
      </c>
      <c r="F22" s="88" t="s">
        <v>262</v>
      </c>
      <c r="G22" s="293"/>
      <c r="H22" s="293"/>
    </row>
    <row r="23" spans="1:8" ht="15.75" customHeight="1" thickBot="1" x14ac:dyDescent="0.4">
      <c r="B23" s="37" t="s">
        <v>254</v>
      </c>
      <c r="C23" s="38" t="e">
        <f>1/Data!C53</f>
        <v>#DIV/0!</v>
      </c>
      <c r="F23" s="39" t="s">
        <v>166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242</v>
      </c>
      <c r="C24" s="42">
        <f>Fin_Analysis!I81</f>
        <v>4.9583539011941466E-4</v>
      </c>
      <c r="F24" s="39" t="s">
        <v>227</v>
      </c>
      <c r="G24" s="43">
        <f>G3/(Fin_Analysis!H86*G7)</f>
        <v>6.7211737956276085</v>
      </c>
    </row>
    <row r="25" spans="1:8" ht="15.75" customHeight="1" x14ac:dyDescent="0.35">
      <c r="B25" s="28" t="s">
        <v>243</v>
      </c>
      <c r="C25" s="44">
        <f>Fin_Analysis!I80</f>
        <v>0</v>
      </c>
      <c r="F25" s="39" t="s">
        <v>154</v>
      </c>
      <c r="G25" s="44">
        <f>Fin_Analysis!I88</f>
        <v>0.43489948089355107</v>
      </c>
    </row>
    <row r="26" spans="1:8" ht="15.75" customHeight="1" x14ac:dyDescent="0.35">
      <c r="B26" s="45" t="s">
        <v>244</v>
      </c>
      <c r="C26" s="44">
        <f>Fin_Analysis!I80+Fin_Analysis!I82</f>
        <v>0</v>
      </c>
      <c r="F26" s="46" t="s">
        <v>169</v>
      </c>
      <c r="G26" s="47">
        <f>Fin_Analysis!H88*Exchange_Rate/G3</f>
        <v>6.4705882352941169E-2</v>
      </c>
    </row>
    <row r="27" spans="1:8" ht="15.75" customHeight="1" x14ac:dyDescent="0.35"/>
    <row r="28" spans="1:8" ht="15.75" customHeight="1" x14ac:dyDescent="0.35">
      <c r="A28" s="4"/>
      <c r="B28" s="48" t="s">
        <v>7</v>
      </c>
      <c r="C28" s="49" t="s">
        <v>150</v>
      </c>
      <c r="D28" s="50" t="s">
        <v>151</v>
      </c>
      <c r="E28" s="51"/>
      <c r="F28" s="52" t="s">
        <v>211</v>
      </c>
      <c r="G28" s="318" t="s">
        <v>226</v>
      </c>
      <c r="H28" s="318"/>
    </row>
    <row r="29" spans="1:8" ht="15.75" customHeight="1" x14ac:dyDescent="0.35">
      <c r="B29" s="3" t="s">
        <v>152</v>
      </c>
      <c r="C29" s="53">
        <f>IF(Fin_Analysis!C108="Profit",Fin_Analysis!D100,IF(Fin_Analysis!C108="Dividend",Fin_Analysis!D103,Fin_Analysis!D106))</f>
        <v>1.7032356860425137</v>
      </c>
      <c r="D29" s="54">
        <f>G29*(1+G20)</f>
        <v>2.9569633315693102</v>
      </c>
      <c r="E29" s="3"/>
      <c r="F29" s="55">
        <f>IF(Fin_Analysis!C108="Profit",Fin_Analysis!F100,IF(Fin_Analysis!C108="Dividend",Fin_Analysis!F103,Fin_Analysis!F106))</f>
        <v>2.003806689461781</v>
      </c>
      <c r="G29" s="319">
        <f>IF(Fin_Analysis!C108="Profit",Fin_Analysis!I100,IF(Fin_Analysis!C108="Dividend",Fin_Analysis!I103,Fin_Analysis!I106))</f>
        <v>2.5712724622341829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197</v>
      </c>
    </row>
    <row r="32" spans="1:8" ht="15.75" customHeight="1" x14ac:dyDescent="0.35">
      <c r="B32" s="88" t="s">
        <v>198</v>
      </c>
      <c r="C32" s="293"/>
      <c r="D32" s="293"/>
    </row>
    <row r="33" spans="1:4" ht="15.75" customHeight="1" x14ac:dyDescent="0.35">
      <c r="B33" s="56" t="s">
        <v>199</v>
      </c>
      <c r="C33" s="117" t="str">
        <f>Inputs!C17</f>
        <v>unclear</v>
      </c>
    </row>
    <row r="34" spans="1:4" ht="15.75" customHeight="1" x14ac:dyDescent="0.35">
      <c r="B34" s="57" t="s">
        <v>200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261</v>
      </c>
      <c r="C35" s="293"/>
      <c r="D35" s="293"/>
    </row>
    <row r="36" spans="1:4" ht="15.75" customHeight="1" x14ac:dyDescent="0.35">
      <c r="B36" s="56" t="s">
        <v>212</v>
      </c>
      <c r="C36" s="117" t="str">
        <f>Inputs!C18</f>
        <v>disagree</v>
      </c>
    </row>
    <row r="37" spans="1:4" ht="15.75" customHeight="1" x14ac:dyDescent="0.35">
      <c r="B37" s="56" t="s">
        <v>213</v>
      </c>
      <c r="C37" s="117" t="str">
        <f>Inputs!C19</f>
        <v>disagree</v>
      </c>
    </row>
    <row r="38" spans="1:4" ht="15.75" customHeight="1" x14ac:dyDescent="0.35">
      <c r="B38" s="88" t="s">
        <v>201</v>
      </c>
      <c r="C38" s="293"/>
      <c r="D38" s="293"/>
    </row>
    <row r="39" spans="1:4" ht="15.75" customHeight="1" x14ac:dyDescent="0.35">
      <c r="B39" s="57" t="s">
        <v>202</v>
      </c>
      <c r="C39" s="117" t="str">
        <f>Inputs!C20</f>
        <v>disagree</v>
      </c>
    </row>
    <row r="40" spans="1:4" ht="15.75" customHeight="1" x14ac:dyDescent="0.35">
      <c r="B40" s="2" t="s">
        <v>205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203</v>
      </c>
    </row>
    <row r="43" spans="1:4" ht="58.15" x14ac:dyDescent="0.35">
      <c r="B43" s="59" t="s">
        <v>204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9</v>
      </c>
      <c r="C2" s="135"/>
      <c r="D2" s="136"/>
      <c r="E2" s="137" t="s">
        <v>175</v>
      </c>
      <c r="F2" s="138" t="s">
        <v>178</v>
      </c>
      <c r="G2" s="137" t="s">
        <v>179</v>
      </c>
      <c r="H2" s="139" t="s">
        <v>180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10</v>
      </c>
      <c r="C3" s="142">
        <f>Inputs!C12</f>
        <v>45291</v>
      </c>
      <c r="E3" s="143" t="s">
        <v>176</v>
      </c>
      <c r="F3" s="144" t="str">
        <f>H14</f>
        <v/>
      </c>
      <c r="G3" s="144">
        <f>C14</f>
        <v>2578308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11</v>
      </c>
      <c r="C4" s="13">
        <f>Inputs!C13</f>
        <v>1000</v>
      </c>
      <c r="D4" s="2" t="str">
        <f>Dashboard!G6</f>
        <v>HKD</v>
      </c>
      <c r="E4" s="143" t="s">
        <v>177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124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12</v>
      </c>
      <c r="C6" s="147">
        <f>IF(Inputs!C25=""," ",Inputs!C25)</f>
        <v>5891068</v>
      </c>
      <c r="D6" s="147">
        <f>IF(Inputs!D25="","",Inputs!D25)</f>
        <v>8214719</v>
      </c>
      <c r="E6" s="147">
        <f>IF(Inputs!E25="","",Inputs!E25)</f>
        <v>7075818</v>
      </c>
      <c r="F6" s="147">
        <f>IF(Inputs!F25="","",Inputs!F25)</f>
        <v>3996951</v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13</v>
      </c>
      <c r="C7" s="148">
        <f t="shared" ref="C7:M7" si="1">IF(D6="","",C6/D6-1)</f>
        <v>-0.28286433169533853</v>
      </c>
      <c r="D7" s="148">
        <f t="shared" si="1"/>
        <v>0.16095679679720432</v>
      </c>
      <c r="E7" s="148">
        <f t="shared" si="1"/>
        <v>0.77030391415856747</v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98</v>
      </c>
      <c r="C8" s="149">
        <f>IF(Inputs!C26="","",Inputs!C26)</f>
        <v>2425040</v>
      </c>
      <c r="D8" s="149">
        <f>IF(Inputs!D26="","",Inputs!D26)</f>
        <v>2925125</v>
      </c>
      <c r="E8" s="149">
        <f>IF(Inputs!E26="","",Inputs!E26)</f>
        <v>2681244</v>
      </c>
      <c r="F8" s="149">
        <f>IF(Inputs!F26="","",Inputs!F26)</f>
        <v>2127744</v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95</v>
      </c>
      <c r="C9" s="279">
        <f t="shared" ref="C9:M9" si="2">IF(C6="","",(C6-C8))</f>
        <v>3466028</v>
      </c>
      <c r="D9" s="279">
        <f t="shared" si="2"/>
        <v>5289594</v>
      </c>
      <c r="E9" s="279">
        <f t="shared" si="2"/>
        <v>4394574</v>
      </c>
      <c r="F9" s="279">
        <f t="shared" si="2"/>
        <v>1869207</v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96</v>
      </c>
      <c r="C10" s="149">
        <f>IF(Inputs!C27="","",Inputs!C27)</f>
        <v>425792</v>
      </c>
      <c r="D10" s="149">
        <f>IF(Inputs!D27="","",Inputs!D27)</f>
        <v>674361</v>
      </c>
      <c r="E10" s="149">
        <f>IF(Inputs!E27="","",Inputs!E27)</f>
        <v>477644</v>
      </c>
      <c r="F10" s="149">
        <f>IF(Inputs!F27="","",Inputs!F27)</f>
        <v>498500</v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99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214</v>
      </c>
      <c r="C12" s="149">
        <f>IF(Inputs!C30="","",MAX(Inputs!C30,0)/(1-Fin_Analysis!$I$84))</f>
        <v>461928</v>
      </c>
      <c r="D12" s="149">
        <f>IF(Inputs!D30="","",MAX(Inputs!D30,0)/(1-Fin_Analysis!$I$84))</f>
        <v>610053.33333333337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215</v>
      </c>
      <c r="C13" s="300">
        <f t="shared" ref="C13:M13" si="3">IF(C14="","",C14/C6)</f>
        <v>0.43766393462102288</v>
      </c>
      <c r="D13" s="300">
        <f t="shared" si="3"/>
        <v>0.48756137205261268</v>
      </c>
      <c r="E13" s="300">
        <f t="shared" si="3"/>
        <v>0.55356567961471026</v>
      </c>
      <c r="F13" s="300">
        <f t="shared" si="3"/>
        <v>0.3429381546083502</v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207</v>
      </c>
      <c r="C14" s="302">
        <f>IF(C6="","",C9-C10-MAX(C11,0)-MAX(C12,0))</f>
        <v>2578308</v>
      </c>
      <c r="D14" s="302">
        <f t="shared" ref="D14:M14" si="4">IF(D6="","",D9-D10-MAX(D11,0)-MAX(D12,0))</f>
        <v>4005179.6666666665</v>
      </c>
      <c r="E14" s="302">
        <f t="shared" si="4"/>
        <v>3916930</v>
      </c>
      <c r="F14" s="302">
        <f t="shared" si="4"/>
        <v>1370707</v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216</v>
      </c>
      <c r="C15" s="304">
        <f>IF(D14="","",IF(ABS(C14+D14)=ABS(C14)+ABS(D14),IF(C14&lt;0,-1,1)*(C14-D14)/D14,"Turn"))</f>
        <v>-0.35625659406540144</v>
      </c>
      <c r="D15" s="304">
        <f t="shared" ref="D15:M15" si="5">IF(E14="","",IF(ABS(D14+E14)=ABS(D14)+ABS(E14),IF(D14&lt;0,-1,1)*(D14-E14)/E14,"Turn"))</f>
        <v>2.2530314983077695E-2</v>
      </c>
      <c r="E15" s="304">
        <f t="shared" si="5"/>
        <v>1.8575983051082399</v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102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225</v>
      </c>
      <c r="C17" s="149">
        <f>IF(Inputs!C29="","",Inputs!C29)</f>
        <v>2921</v>
      </c>
      <c r="D17" s="149">
        <f>IF(Inputs!D29="","",Inputs!D29)</f>
        <v>1360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91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97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209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100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104</v>
      </c>
      <c r="C22" s="283">
        <f>IF(C6="","",C14-MAX(C16,0)-MAX(C17,0)-ABS(MAX(C21,0)-MAX(C19,0)))</f>
        <v>2575387</v>
      </c>
      <c r="D22" s="283">
        <f t="shared" ref="D22:M22" si="8">IF(D6="","",D14-MAX(D16,0)-MAX(D17,0)-ABS(MAX(D21,0)-MAX(D19,0)))</f>
        <v>4003819.6666666665</v>
      </c>
      <c r="E22" s="283">
        <f t="shared" si="8"/>
        <v>3916930</v>
      </c>
      <c r="F22" s="283">
        <f t="shared" si="8"/>
        <v>1370707</v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105</v>
      </c>
      <c r="C23" s="148">
        <f t="shared" ref="C23:M23" si="9">IF(C6="","",C24/C6)</f>
        <v>0.32787607442317762</v>
      </c>
      <c r="D23" s="148">
        <f t="shared" si="9"/>
        <v>0.36554686167597455</v>
      </c>
      <c r="E23" s="148">
        <f t="shared" si="9"/>
        <v>0.41517425971103272</v>
      </c>
      <c r="F23" s="148">
        <f t="shared" si="9"/>
        <v>0.25720361595626268</v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106</v>
      </c>
      <c r="C24" s="281">
        <f>IF(C6="","",C22*(1-Fin_Analysis!$I$84))</f>
        <v>1931540.25</v>
      </c>
      <c r="D24" s="282">
        <f>IF(D6="","",D22*(1-Fin_Analysis!$I$84))</f>
        <v>3002864.75</v>
      </c>
      <c r="E24" s="282">
        <f>IF(E6="","",E22*(1-Fin_Analysis!$I$84))</f>
        <v>2937697.5</v>
      </c>
      <c r="F24" s="282">
        <f>IF(F6="","",F22*(1-Fin_Analysis!$I$84))</f>
        <v>1028030.25</v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119</v>
      </c>
      <c r="C25" s="152">
        <f>IF(D24="","",IF(ABS(C24+D24)=ABS(C24)+ABS(D24),IF(C24&lt;0,-1,1)*(C24-D24)/D24,"Turn"))</f>
        <v>-0.35676748345059495</v>
      </c>
      <c r="D25" s="152">
        <f t="shared" ref="D25:M25" si="10">IF(E24="","",IF(ABS(D24+E24)=ABS(D24)+ABS(E24),IF(D24&lt;0,-1,1)*(D24-E24)/E24,"Turn"))</f>
        <v>2.2183104284903398E-2</v>
      </c>
      <c r="E25" s="152">
        <f t="shared" si="10"/>
        <v>1.8575983051082399</v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125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14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108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137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246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17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18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19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128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129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127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131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143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231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90</v>
      </c>
      <c r="C40" s="156">
        <f t="shared" ref="C40:M40" si="34">IF(C6="","",C8/C6)</f>
        <v>0.41164692038862905</v>
      </c>
      <c r="D40" s="156">
        <f t="shared" si="34"/>
        <v>0.35608339128824734</v>
      </c>
      <c r="E40" s="156">
        <f t="shared" si="34"/>
        <v>0.37893060562043851</v>
      </c>
      <c r="F40" s="156">
        <f t="shared" si="34"/>
        <v>0.53234177751991452</v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208</v>
      </c>
      <c r="C41" s="151">
        <f t="shared" ref="C41:M41" si="35">IF(C6="","",(C10+MAX(C11,0))/C6)</f>
        <v>7.227755646344601E-2</v>
      </c>
      <c r="D41" s="151">
        <f t="shared" si="35"/>
        <v>8.2091791575585243E-2</v>
      </c>
      <c r="E41" s="151">
        <f t="shared" si="35"/>
        <v>6.7503714764851216E-2</v>
      </c>
      <c r="F41" s="151">
        <f t="shared" si="35"/>
        <v>0.12472006787173523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101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113</v>
      </c>
      <c r="C43" s="151">
        <f t="shared" ref="C43:M43" si="37">IF(C6="","",MAX(C17,0)/C6)</f>
        <v>4.9583539011941466E-4</v>
      </c>
      <c r="D43" s="151">
        <f t="shared" si="37"/>
        <v>1.6555648464664465E-4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120</v>
      </c>
      <c r="C44" s="151">
        <f t="shared" ref="C44:M44" si="38">IF(C6="","",MAX(C12,0)/C6)</f>
        <v>7.8411588526902082E-2</v>
      </c>
      <c r="D44" s="151">
        <f t="shared" si="38"/>
        <v>7.4263445083554702E-2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210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115</v>
      </c>
      <c r="C46" s="289">
        <f t="shared" ref="C46:M46" si="40">IF(C6="","",C22/C6)</f>
        <v>0.43716809923090344</v>
      </c>
      <c r="D46" s="289">
        <f t="shared" si="40"/>
        <v>0.48739581556796607</v>
      </c>
      <c r="E46" s="289">
        <f t="shared" si="40"/>
        <v>0.55356567961471026</v>
      </c>
      <c r="F46" s="289">
        <f t="shared" si="40"/>
        <v>0.3429381546083502</v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232</v>
      </c>
      <c r="C47" s="157" t="s">
        <v>249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238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239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240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230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233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234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112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114</v>
      </c>
      <c r="C55" s="151">
        <f t="shared" ref="C55:M55" si="47">IF(C22="","",IF(MAX(C17,0)&lt;=0,"-",C17/C22))</f>
        <v>1.1341984719189775E-3</v>
      </c>
      <c r="D55" s="151">
        <f t="shared" si="47"/>
        <v>3.3967563807194446E-4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253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235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236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237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265</v>
      </c>
      <c r="C2" s="164"/>
      <c r="D2" s="165"/>
      <c r="E2" s="3"/>
      <c r="F2" s="7"/>
      <c r="G2" s="7"/>
      <c r="H2" s="7"/>
      <c r="I2" s="3"/>
      <c r="K2" s="166" t="s">
        <v>8</v>
      </c>
    </row>
    <row r="3" spans="1:11" ht="15" customHeight="1" x14ac:dyDescent="0.35">
      <c r="B3" s="9" t="s">
        <v>20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21</v>
      </c>
      <c r="I3" s="170">
        <f>D3-D4</f>
        <v>0</v>
      </c>
      <c r="K3" s="75"/>
    </row>
    <row r="4" spans="1:11" ht="15" customHeight="1" x14ac:dyDescent="0.35">
      <c r="B4" s="9" t="s">
        <v>22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23</v>
      </c>
      <c r="H5" s="2" t="s">
        <v>24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HKD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25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26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27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264</v>
      </c>
      <c r="C10" s="85" t="s">
        <v>28</v>
      </c>
      <c r="D10" s="85" t="s">
        <v>172</v>
      </c>
      <c r="E10" s="85" t="s">
        <v>29</v>
      </c>
      <c r="F10" s="90" t="s">
        <v>30</v>
      </c>
      <c r="G10" s="3"/>
      <c r="H10" s="88" t="s">
        <v>277</v>
      </c>
      <c r="I10" s="85" t="s">
        <v>28</v>
      </c>
      <c r="K10" s="75"/>
    </row>
    <row r="11" spans="1:11" ht="15" customHeight="1" x14ac:dyDescent="0.35">
      <c r="B11" s="9" t="s">
        <v>31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32</v>
      </c>
      <c r="I11" s="181">
        <f>Inputs!C73</f>
        <v>0</v>
      </c>
      <c r="J11" s="3"/>
      <c r="K11" s="75"/>
    </row>
    <row r="12" spans="1:11" ht="11.65" x14ac:dyDescent="0.35">
      <c r="B12" s="2" t="s">
        <v>126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33</v>
      </c>
      <c r="I12" s="181">
        <f>Inputs!C74</f>
        <v>0</v>
      </c>
      <c r="J12" s="3"/>
      <c r="K12" s="75"/>
    </row>
    <row r="13" spans="1:11" ht="11.65" x14ac:dyDescent="0.35">
      <c r="B13" s="9" t="s">
        <v>108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34</v>
      </c>
      <c r="I13" s="181">
        <f>Inputs!C75</f>
        <v>0</v>
      </c>
      <c r="J13" s="3"/>
      <c r="K13" s="183"/>
    </row>
    <row r="14" spans="1:11" ht="11.65" x14ac:dyDescent="0.35">
      <c r="B14" s="9" t="s">
        <v>35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36</v>
      </c>
      <c r="I14" s="184">
        <f>Inputs!C76</f>
        <v>0</v>
      </c>
      <c r="J14" s="3"/>
      <c r="K14" s="185"/>
    </row>
    <row r="15" spans="1:11" ht="11.65" x14ac:dyDescent="0.35">
      <c r="B15" s="9" t="s">
        <v>37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47</v>
      </c>
      <c r="I15" s="186">
        <f>SUM(I11:I14)</f>
        <v>0</v>
      </c>
      <c r="J15" s="3"/>
    </row>
    <row r="16" spans="1:11" ht="11.65" x14ac:dyDescent="0.35">
      <c r="B16" s="2" t="s">
        <v>144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109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40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41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111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43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44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38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45</v>
      </c>
      <c r="G23" s="3"/>
    </row>
    <row r="24" spans="2:10" ht="15" customHeight="1" x14ac:dyDescent="0.35">
      <c r="B24" s="189" t="s">
        <v>46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48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49</v>
      </c>
      <c r="I25" s="174" t="e">
        <f>E28/I28</f>
        <v>#DIV/0!</v>
      </c>
    </row>
    <row r="26" spans="2:10" ht="15" customHeight="1" x14ac:dyDescent="0.35">
      <c r="B26" s="189" t="s">
        <v>50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51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52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53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15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16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30</v>
      </c>
      <c r="G29" s="3"/>
      <c r="H29" s="3"/>
      <c r="I29" s="3"/>
      <c r="J29" s="3"/>
    </row>
    <row r="30" spans="2:10" ht="15" customHeight="1" x14ac:dyDescent="0.35">
      <c r="B30" s="9" t="s">
        <v>54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55</v>
      </c>
      <c r="I30" s="181">
        <f>Inputs!C78</f>
        <v>0</v>
      </c>
      <c r="J30" s="3"/>
    </row>
    <row r="31" spans="2:10" ht="15" customHeight="1" x14ac:dyDescent="0.35">
      <c r="B31" s="9" t="s">
        <v>56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57</v>
      </c>
      <c r="I31" s="181">
        <f>Inputs!C79</f>
        <v>0</v>
      </c>
      <c r="J31" s="3"/>
    </row>
    <row r="32" spans="2:10" ht="15" customHeight="1" x14ac:dyDescent="0.35">
      <c r="B32" s="9" t="s">
        <v>58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59</v>
      </c>
      <c r="I32" s="181">
        <f>Inputs!C80</f>
        <v>0</v>
      </c>
      <c r="J32" s="3"/>
    </row>
    <row r="33" spans="2:10" ht="11.65" x14ac:dyDescent="0.35">
      <c r="B33" s="2" t="s">
        <v>145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60</v>
      </c>
      <c r="I33" s="184">
        <f>Inputs!C81</f>
        <v>0</v>
      </c>
      <c r="J33" s="3"/>
    </row>
    <row r="34" spans="2:10" ht="11.65" x14ac:dyDescent="0.35">
      <c r="B34" s="9" t="s">
        <v>61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71</v>
      </c>
      <c r="I34" s="186">
        <f>SUM(I30:I33)</f>
        <v>0</v>
      </c>
      <c r="J34" s="3"/>
    </row>
    <row r="35" spans="2:10" ht="11.65" x14ac:dyDescent="0.35">
      <c r="B35" s="9" t="s">
        <v>63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65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42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110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66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67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68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69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62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70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72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73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74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75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76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77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78</v>
      </c>
      <c r="I48" s="203">
        <f>I49-I28</f>
        <v>0</v>
      </c>
      <c r="J48" s="193"/>
    </row>
    <row r="49" spans="2:11" ht="15" customHeight="1" thickTop="1" x14ac:dyDescent="0.35">
      <c r="B49" s="9" t="s">
        <v>14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79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263</v>
      </c>
      <c r="C51" s="293"/>
      <c r="D51" s="293"/>
    </row>
    <row r="52" spans="2:11" ht="11.65" x14ac:dyDescent="0.35">
      <c r="B52" s="204" t="s">
        <v>80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8</v>
      </c>
    </row>
    <row r="53" spans="2:11" ht="11.65" x14ac:dyDescent="0.35">
      <c r="B53" s="9" t="s">
        <v>81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138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82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83</v>
      </c>
      <c r="C57" s="3"/>
      <c r="D57" s="317">
        <f>Inputs!C84</f>
        <v>0</v>
      </c>
      <c r="E57" s="316"/>
      <c r="G57" s="3"/>
      <c r="I57" s="3"/>
      <c r="K57" s="178" t="s">
        <v>84</v>
      </c>
    </row>
    <row r="58" spans="2:11" ht="12.75" customHeight="1" x14ac:dyDescent="0.35">
      <c r="B58" s="56" t="s">
        <v>85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141</v>
      </c>
      <c r="C60" s="9"/>
      <c r="D60" s="206" t="s">
        <v>86</v>
      </c>
      <c r="E60" s="3"/>
      <c r="F60" s="207"/>
      <c r="G60" s="207"/>
      <c r="H60" s="88" t="s">
        <v>256</v>
      </c>
      <c r="I60" s="88"/>
      <c r="K60" s="178"/>
    </row>
    <row r="61" spans="2:11" ht="15" customHeight="1" x14ac:dyDescent="0.35">
      <c r="B61" s="57" t="s">
        <v>87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257</v>
      </c>
      <c r="I61" s="209">
        <f>C99*Data!$C$4/Common_Shares</f>
        <v>0</v>
      </c>
      <c r="K61" s="178"/>
    </row>
    <row r="62" spans="2:11" ht="11.65" x14ac:dyDescent="0.35">
      <c r="B62" s="12" t="s">
        <v>130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132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258</v>
      </c>
      <c r="I63" s="213">
        <f>IF(I61&gt;0,FV(I62,D93,0,-I61),I61)</f>
        <v>0</v>
      </c>
      <c r="K63" s="178"/>
    </row>
    <row r="64" spans="2:11" ht="12" thickBot="1" x14ac:dyDescent="0.4">
      <c r="B64" s="214" t="s">
        <v>139</v>
      </c>
      <c r="C64" s="215"/>
      <c r="D64" s="215"/>
      <c r="E64" s="175">
        <f>D56+D57+D58</f>
        <v>0</v>
      </c>
      <c r="F64" s="3"/>
      <c r="G64" s="3"/>
      <c r="H64" s="2" t="s">
        <v>259</v>
      </c>
      <c r="I64" s="213">
        <f>IF(I61&gt;0,PV(C94,D93,0,-I63),I61)</f>
        <v>0</v>
      </c>
      <c r="K64" s="178"/>
    </row>
    <row r="65" spans="1:11" ht="12" thickTop="1" x14ac:dyDescent="0.35">
      <c r="B65" s="9" t="s">
        <v>133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142</v>
      </c>
      <c r="C67" s="9"/>
      <c r="D67" s="206" t="s">
        <v>86</v>
      </c>
      <c r="E67" s="190"/>
      <c r="F67" s="3"/>
      <c r="G67" s="3"/>
      <c r="I67" s="3"/>
      <c r="K67" s="178"/>
    </row>
    <row r="68" spans="1:11" ht="11.65" x14ac:dyDescent="0.35">
      <c r="B68" s="57" t="s">
        <v>131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140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134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118</v>
      </c>
      <c r="C72" s="309">
        <f>Data!C5</f>
        <v>45291</v>
      </c>
      <c r="D72" s="309"/>
      <c r="E72" s="323" t="s">
        <v>182</v>
      </c>
      <c r="F72" s="323"/>
      <c r="H72" s="323" t="s">
        <v>181</v>
      </c>
      <c r="I72" s="323"/>
      <c r="K72" s="166" t="s">
        <v>8</v>
      </c>
    </row>
    <row r="73" spans="1:11" ht="15" customHeight="1" x14ac:dyDescent="0.35">
      <c r="B73" s="101" t="str">
        <f>"(Numbers in "&amp;Data!C4&amp;Dashboard!G6&amp;")"</f>
        <v>(Numbers in 1000HKD)</v>
      </c>
      <c r="C73" s="310" t="s">
        <v>93</v>
      </c>
      <c r="D73" s="310"/>
      <c r="E73" s="324" t="s">
        <v>94</v>
      </c>
      <c r="F73" s="310"/>
      <c r="H73" s="324" t="s">
        <v>94</v>
      </c>
      <c r="I73" s="310"/>
      <c r="K73" s="75"/>
    </row>
    <row r="74" spans="1:11" ht="15" customHeight="1" x14ac:dyDescent="0.35">
      <c r="B74" s="9" t="s">
        <v>117</v>
      </c>
      <c r="C74" s="102">
        <f>Data!C6</f>
        <v>5891068</v>
      </c>
      <c r="D74" s="103"/>
      <c r="E74" s="262">
        <f>Inputs!E91</f>
        <v>5891068</v>
      </c>
      <c r="F74" s="103"/>
      <c r="H74" s="262">
        <f>Inputs!F91</f>
        <v>5891068</v>
      </c>
      <c r="I74" s="103"/>
      <c r="K74" s="75"/>
    </row>
    <row r="75" spans="1:11" ht="15" customHeight="1" x14ac:dyDescent="0.35">
      <c r="B75" s="105" t="s">
        <v>98</v>
      </c>
      <c r="C75" s="102">
        <f>Data!C8</f>
        <v>2425040</v>
      </c>
      <c r="D75" s="106">
        <f>C75/$C$74</f>
        <v>0.41164692038862905</v>
      </c>
      <c r="E75" s="262">
        <f>Inputs!E92</f>
        <v>2425040</v>
      </c>
      <c r="F75" s="217">
        <f>E75/E74</f>
        <v>0.41164692038862905</v>
      </c>
      <c r="H75" s="262">
        <f>Inputs!F92</f>
        <v>2425040</v>
      </c>
      <c r="I75" s="217">
        <f>H75/$H$74</f>
        <v>0.41164692038862905</v>
      </c>
      <c r="K75" s="75"/>
    </row>
    <row r="76" spans="1:11" ht="15" customHeight="1" x14ac:dyDescent="0.35">
      <c r="B76" s="12" t="s">
        <v>88</v>
      </c>
      <c r="C76" s="150">
        <f>C74-C75</f>
        <v>3466028</v>
      </c>
      <c r="D76" s="218"/>
      <c r="E76" s="219">
        <f>E74-E75</f>
        <v>3466028</v>
      </c>
      <c r="F76" s="218"/>
      <c r="H76" s="219">
        <f>H74-H75</f>
        <v>3466028</v>
      </c>
      <c r="I76" s="218"/>
      <c r="K76" s="75"/>
    </row>
    <row r="77" spans="1:11" ht="15" customHeight="1" x14ac:dyDescent="0.35">
      <c r="B77" s="105" t="s">
        <v>219</v>
      </c>
      <c r="C77" s="102">
        <f>Data!C10+MAX(Data!C11,0)</f>
        <v>425792</v>
      </c>
      <c r="D77" s="106">
        <f>C77/$C$74</f>
        <v>7.227755646344601E-2</v>
      </c>
      <c r="E77" s="262">
        <f>Inputs!E93</f>
        <v>425791.99999999994</v>
      </c>
      <c r="F77" s="217">
        <f>E77/E74</f>
        <v>7.227755646344601E-2</v>
      </c>
      <c r="H77" s="262">
        <f>Inputs!F93</f>
        <v>425791.99999999994</v>
      </c>
      <c r="I77" s="217">
        <f>H77/$H$74</f>
        <v>7.227755646344601E-2</v>
      </c>
      <c r="K77" s="75"/>
    </row>
    <row r="78" spans="1:11" ht="15" customHeight="1" x14ac:dyDescent="0.35">
      <c r="B78" s="98" t="s">
        <v>153</v>
      </c>
      <c r="C78" s="102">
        <f>MAX(Data!C12,0)</f>
        <v>461928</v>
      </c>
      <c r="D78" s="106">
        <f>C78/$C$74</f>
        <v>7.8411588526902082E-2</v>
      </c>
      <c r="E78" s="220">
        <f>E74*F78</f>
        <v>461928</v>
      </c>
      <c r="F78" s="217">
        <f>I78</f>
        <v>7.8411588526902082E-2</v>
      </c>
      <c r="H78" s="262">
        <f>Inputs!F97</f>
        <v>461928</v>
      </c>
      <c r="I78" s="217">
        <f>H78/$H$74</f>
        <v>7.8411588526902082E-2</v>
      </c>
      <c r="K78" s="75"/>
    </row>
    <row r="79" spans="1:11" ht="15" customHeight="1" x14ac:dyDescent="0.35">
      <c r="B79" s="221" t="s">
        <v>206</v>
      </c>
      <c r="C79" s="222">
        <f>C76-C77-C78</f>
        <v>2578308</v>
      </c>
      <c r="D79" s="223">
        <f>C79/C74</f>
        <v>0.43766393462102288</v>
      </c>
      <c r="E79" s="224">
        <f>E76-E77-E78</f>
        <v>2578308</v>
      </c>
      <c r="F79" s="223">
        <f>E79/E74</f>
        <v>0.43766393462102288</v>
      </c>
      <c r="G79" s="225"/>
      <c r="H79" s="224">
        <f>H76-H77-H78</f>
        <v>2578308</v>
      </c>
      <c r="I79" s="223">
        <f>H79/H74</f>
        <v>0.43766393462102288</v>
      </c>
      <c r="K79" s="75"/>
    </row>
    <row r="80" spans="1:11" ht="15" customHeight="1" x14ac:dyDescent="0.35">
      <c r="B80" s="18" t="s">
        <v>102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122</v>
      </c>
    </row>
    <row r="81" spans="1:11" ht="15" customHeight="1" x14ac:dyDescent="0.35">
      <c r="B81" s="105" t="s">
        <v>225</v>
      </c>
      <c r="C81" s="102">
        <f>MAX(Data!C17,0)</f>
        <v>2921</v>
      </c>
      <c r="D81" s="106">
        <f>C81/$C$74</f>
        <v>4.9583539011941466E-4</v>
      </c>
      <c r="E81" s="220">
        <f>E74*F81</f>
        <v>2921</v>
      </c>
      <c r="F81" s="217">
        <f>I81</f>
        <v>4.9583539011941466E-4</v>
      </c>
      <c r="H81" s="262">
        <f>Inputs!F94</f>
        <v>2921</v>
      </c>
      <c r="I81" s="217">
        <f>H81/$H$74</f>
        <v>4.9583539011941466E-4</v>
      </c>
      <c r="K81" s="75"/>
    </row>
    <row r="82" spans="1:11" ht="15" customHeight="1" x14ac:dyDescent="0.35">
      <c r="B82" s="18" t="s">
        <v>218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116</v>
      </c>
      <c r="C83" s="228">
        <f>C79-C81-C82-C80</f>
        <v>2575387</v>
      </c>
      <c r="D83" s="229">
        <f>C83/$C$74</f>
        <v>0.43716809923090344</v>
      </c>
      <c r="E83" s="230">
        <f>E79-E81-E82-E80</f>
        <v>2575387</v>
      </c>
      <c r="F83" s="229">
        <f>E83/E74</f>
        <v>0.43716809923090344</v>
      </c>
      <c r="H83" s="230">
        <f>H79-H81-H82-H80</f>
        <v>2575387</v>
      </c>
      <c r="I83" s="229">
        <f>H83/$H$74</f>
        <v>0.43716809923090344</v>
      </c>
      <c r="K83" s="75"/>
    </row>
    <row r="84" spans="1:11" ht="15" customHeight="1" thickTop="1" x14ac:dyDescent="0.35">
      <c r="B84" s="18" t="s">
        <v>89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149</v>
      </c>
      <c r="C85" s="222">
        <f>C83*(1-I84)</f>
        <v>1931540.25</v>
      </c>
      <c r="D85" s="223">
        <f>C85/$C$74</f>
        <v>0.32787607442317762</v>
      </c>
      <c r="E85" s="235">
        <f>E83*(1-F84)</f>
        <v>1931540.25</v>
      </c>
      <c r="F85" s="223">
        <f>E85/E74</f>
        <v>0.32787607442317762</v>
      </c>
      <c r="G85" s="225"/>
      <c r="H85" s="235">
        <f>H83*(1-I84)</f>
        <v>1931540.25</v>
      </c>
      <c r="I85" s="223">
        <f>H85/$H$74</f>
        <v>0.32787607442317762</v>
      </c>
      <c r="K85" s="75"/>
    </row>
    <row r="86" spans="1:11" ht="15" customHeight="1" x14ac:dyDescent="0.35">
      <c r="B86" s="3" t="s">
        <v>146</v>
      </c>
      <c r="C86" s="236">
        <f>C85*Data!C4/Common_Shares</f>
        <v>0.37939801551611069</v>
      </c>
      <c r="D86" s="103"/>
      <c r="E86" s="237">
        <f>E85*Data!C4/Common_Shares</f>
        <v>0.37939801551611069</v>
      </c>
      <c r="F86" s="103"/>
      <c r="H86" s="237">
        <f>H85*Data!C4/Common_Shares</f>
        <v>0.37939801551611069</v>
      </c>
      <c r="I86" s="103"/>
      <c r="K86" s="75"/>
    </row>
    <row r="87" spans="1:11" ht="15" customHeight="1" x14ac:dyDescent="0.35">
      <c r="B87" s="3" t="s">
        <v>184</v>
      </c>
      <c r="C87" s="238">
        <f>C86*Exchange_Rate/Dashboard!G3</f>
        <v>0.14878353549651402</v>
      </c>
      <c r="D87" s="103"/>
      <c r="E87" s="239">
        <f>E86*Exchange_Rate/Dashboard!G3</f>
        <v>0.14878353549651402</v>
      </c>
      <c r="F87" s="103"/>
      <c r="H87" s="239">
        <f>H86*Exchange_Rate/Dashboard!G3</f>
        <v>0.14878353549651402</v>
      </c>
      <c r="I87" s="103"/>
      <c r="K87" s="75"/>
    </row>
    <row r="88" spans="1:11" ht="15" customHeight="1" x14ac:dyDescent="0.35">
      <c r="B88" s="8" t="s">
        <v>183</v>
      </c>
      <c r="C88" s="240">
        <f>Inputs!C44</f>
        <v>0.28000000000000003</v>
      </c>
      <c r="D88" s="241">
        <f>C88/C86</f>
        <v>0.73801124030420806</v>
      </c>
      <c r="E88" s="261">
        <f>Inputs!E98</f>
        <v>0.16499999999999998</v>
      </c>
      <c r="F88" s="241">
        <f>E88/E86</f>
        <v>0.43489948089355107</v>
      </c>
      <c r="H88" s="261">
        <f>Inputs!F98</f>
        <v>0.16499999999999998</v>
      </c>
      <c r="I88" s="241">
        <f>H88/H86</f>
        <v>0.43489948089355107</v>
      </c>
      <c r="K88" s="75"/>
    </row>
    <row r="89" spans="1:11" ht="15" customHeight="1" x14ac:dyDescent="0.35">
      <c r="B89" s="3" t="s">
        <v>196</v>
      </c>
      <c r="C89" s="238">
        <f>C88*Exchange_Rate/Dashboard!G3</f>
        <v>0.10980392156862746</v>
      </c>
      <c r="D89" s="103"/>
      <c r="E89" s="238">
        <f>E88*Exchange_Rate/Dashboard!G3</f>
        <v>6.4705882352941169E-2</v>
      </c>
      <c r="F89" s="103"/>
      <c r="H89" s="238">
        <f>H88*Exchange_Rate/Dashboard!G3</f>
        <v>6.4705882352941169E-2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123</v>
      </c>
    </row>
    <row r="92" spans="1:11" ht="15" customHeight="1" x14ac:dyDescent="0.35">
      <c r="B92" s="88" t="s">
        <v>273</v>
      </c>
      <c r="C92" s="264" t="str">
        <f>Inputs!C15</f>
        <v>CN</v>
      </c>
      <c r="D92" s="88" t="s">
        <v>274</v>
      </c>
      <c r="E92" s="323" t="s">
        <v>182</v>
      </c>
      <c r="F92" s="323"/>
      <c r="G92" s="3"/>
      <c r="H92" s="323" t="s">
        <v>181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185</v>
      </c>
      <c r="F93" s="243">
        <f>FV(E87,D93,0,-(E86/(C93-D94)))*Exchange_Rate</f>
        <v>10.921756521994528</v>
      </c>
      <c r="H93" s="3" t="s">
        <v>185</v>
      </c>
      <c r="I93" s="243">
        <f>FV(H87,D93,0,-(H86/(C93-D94)))*Exchange_Rate</f>
        <v>10.921756521994528</v>
      </c>
      <c r="K93" s="75"/>
    </row>
    <row r="94" spans="1:11" ht="15" customHeight="1" x14ac:dyDescent="0.35">
      <c r="B94" s="2" t="s">
        <v>187</v>
      </c>
      <c r="C94" s="244">
        <f>Dashboard!G20</f>
        <v>0.15</v>
      </c>
      <c r="D94" s="260">
        <f>Inputs!D87</f>
        <v>0.02</v>
      </c>
      <c r="E94" s="3" t="s">
        <v>186</v>
      </c>
      <c r="F94" s="243">
        <f>FV(E89,D93,0,-(E88/(C93-D94)))*Exchange_Rate</f>
        <v>3.5046704236604627</v>
      </c>
      <c r="H94" s="3" t="s">
        <v>186</v>
      </c>
      <c r="I94" s="243">
        <f>FV(H89,D93,0,-(H88/(C93-D94)))*Exchange_Rate</f>
        <v>3.5046704236604627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189</v>
      </c>
      <c r="E96" s="247" t="str">
        <f>E72</f>
        <v>Pessimistic Case</v>
      </c>
      <c r="F96" s="248" t="s">
        <v>211</v>
      </c>
      <c r="H96" s="247" t="str">
        <f>H72</f>
        <v>Base Case</v>
      </c>
      <c r="I96" s="246" t="s">
        <v>107</v>
      </c>
      <c r="K96" s="75"/>
    </row>
    <row r="97" spans="2:11" ht="15" customHeight="1" x14ac:dyDescent="0.35">
      <c r="B97" s="2" t="s">
        <v>121</v>
      </c>
      <c r="C97" s="249">
        <f>H97*Common_Shares/Data!C4</f>
        <v>31791413.425424073</v>
      </c>
      <c r="D97" s="250"/>
      <c r="E97" s="251">
        <f>PV(C94,D93,0,-F93)</f>
        <v>6.2445497390272511</v>
      </c>
      <c r="F97" s="250"/>
      <c r="H97" s="251">
        <f>PV(C94,D93,0,-I93)</f>
        <v>6.2445497390272511</v>
      </c>
      <c r="I97" s="251">
        <f>PV(C93,D93,0,-I93)</f>
        <v>8.0129679511775436</v>
      </c>
      <c r="K97" s="75"/>
    </row>
    <row r="98" spans="2:11" ht="15" customHeight="1" x14ac:dyDescent="0.35">
      <c r="B98" s="18" t="s">
        <v>135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136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107</v>
      </c>
      <c r="C100" s="249"/>
      <c r="D100" s="257">
        <f>MIN(F100*(1-C94),E100)</f>
        <v>5.3078672781731635</v>
      </c>
      <c r="E100" s="257">
        <f>MAX(E97+H98+E99,0)</f>
        <v>6.2445497390272511</v>
      </c>
      <c r="F100" s="257">
        <f>(E100+H100)/2</f>
        <v>6.2445497390272511</v>
      </c>
      <c r="H100" s="257">
        <f>MAX(H97+H98+H99,0)</f>
        <v>6.2445497390272511</v>
      </c>
      <c r="I100" s="257">
        <f>MAX(I97+H98+H99,0)</f>
        <v>8.0129679511775436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275</v>
      </c>
      <c r="C102" s="245"/>
      <c r="D102" s="246" t="s">
        <v>189</v>
      </c>
      <c r="E102" s="247" t="str">
        <f>E96</f>
        <v>Pessimistic Case</v>
      </c>
      <c r="F102" s="248" t="s">
        <v>211</v>
      </c>
      <c r="H102" s="247" t="str">
        <f>H96</f>
        <v>Base Case</v>
      </c>
      <c r="I102" s="246" t="s">
        <v>107</v>
      </c>
      <c r="K102" s="75"/>
    </row>
    <row r="103" spans="2:11" ht="15" customHeight="1" x14ac:dyDescent="0.35">
      <c r="B103" s="2" t="s">
        <v>147</v>
      </c>
      <c r="C103" s="249"/>
      <c r="D103" s="257">
        <f>MIN(F103*(1-C94),E103)</f>
        <v>1.7032356860425137</v>
      </c>
      <c r="E103" s="251">
        <f>PV(C94,D93,0,-F94)</f>
        <v>2.003806689461781</v>
      </c>
      <c r="F103" s="257">
        <f>(E103+H103)/2</f>
        <v>2.003806689461781</v>
      </c>
      <c r="H103" s="251">
        <f>PV(C94,D93,0,-I94)</f>
        <v>2.003806689461781</v>
      </c>
      <c r="I103" s="257">
        <f>PV(C93,D93,0,-I94)</f>
        <v>2.5712724622341829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173</v>
      </c>
      <c r="C105" s="245"/>
      <c r="D105" s="246" t="s">
        <v>189</v>
      </c>
      <c r="E105" s="258" t="str">
        <f>E96</f>
        <v>Pessimistic Case</v>
      </c>
      <c r="F105" s="248" t="s">
        <v>211</v>
      </c>
      <c r="H105" s="258" t="str">
        <f>H96</f>
        <v>Base Case</v>
      </c>
      <c r="I105" s="246" t="s">
        <v>107</v>
      </c>
      <c r="K105" s="75"/>
    </row>
    <row r="106" spans="2:11" ht="15" customHeight="1" x14ac:dyDescent="0.35">
      <c r="B106" s="2" t="s">
        <v>174</v>
      </c>
      <c r="C106" s="249"/>
      <c r="D106" s="257">
        <f>(D100+D103)/2</f>
        <v>3.5055514821078386</v>
      </c>
      <c r="E106" s="251">
        <f>(E100+E103)/2</f>
        <v>4.124178214244516</v>
      </c>
      <c r="F106" s="257">
        <f>(F100+F103)/2</f>
        <v>4.124178214244516</v>
      </c>
      <c r="H106" s="251">
        <f>(H100+H103)/2</f>
        <v>4.124178214244516</v>
      </c>
      <c r="I106" s="251">
        <f>(I100+I103)/2</f>
        <v>5.2921202067058637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276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268</v>
      </c>
      <c r="C2" s="1"/>
    </row>
    <row r="3" spans="2:3" x14ac:dyDescent="0.35">
      <c r="B3" s="62"/>
      <c r="C3" s="62"/>
    </row>
    <row r="4" spans="2:3" x14ac:dyDescent="0.35">
      <c r="B4" s="60" t="s">
        <v>266</v>
      </c>
      <c r="C4" s="61" t="s">
        <v>267</v>
      </c>
    </row>
    <row r="5" spans="2:3" x14ac:dyDescent="0.35">
      <c r="B5" s="60"/>
      <c r="C5" s="61"/>
    </row>
    <row r="6" spans="2:3" x14ac:dyDescent="0.35">
      <c r="B6" s="63" t="s">
        <v>269</v>
      </c>
      <c r="C6" s="64" t="s">
        <v>270</v>
      </c>
    </row>
    <row r="7" spans="2:3" x14ac:dyDescent="0.35">
      <c r="B7" s="63"/>
      <c r="C7" s="64"/>
    </row>
    <row r="8" spans="2:3" x14ac:dyDescent="0.35">
      <c r="B8" s="298"/>
      <c r="C8" s="65" t="s">
        <v>271</v>
      </c>
    </row>
    <row r="10" spans="2:3" x14ac:dyDescent="0.35">
      <c r="B10" s="291" t="s">
        <v>272</v>
      </c>
    </row>
    <row r="11" spans="2:3" x14ac:dyDescent="0.35">
      <c r="B11" s="292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