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D28BCFC-CA2A-400B-AF5A-6D05842E018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D53" i="4"/>
  <c r="C52" i="4"/>
  <c r="D50" i="4"/>
  <c r="C50" i="4"/>
  <c r="C48" i="4"/>
  <c r="D43" i="4"/>
  <c r="D35" i="4"/>
  <c r="D33" i="4"/>
  <c r="C33" i="4"/>
  <c r="D27" i="4"/>
  <c r="C27" i="4"/>
  <c r="G2" i="1"/>
  <c r="E92" i="4" l="1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<sst xmlns="http://schemas.openxmlformats.org/spreadsheetml/2006/main" count="403" uniqueCount="286">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</sst>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30598124345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372597</v>
      </c>
      <c r="D25" s="80">
        <v>354944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0</v>
      </c>
      <c r="D26" s="82">
        <v>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11294+C29+60026+62939+36403+102123</f>
        <v>274766</v>
      </c>
      <c r="D27" s="82">
        <f>10947+D29+56425+60726+34720+92957</f>
        <v>256870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1981</v>
      </c>
      <c r="D29" s="82">
        <v>1095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196</v>
      </c>
      <c r="D30" s="82">
        <v>92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84847</v>
      </c>
      <c r="D32" s="82">
        <v>86829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C30</f>
        <v>196</v>
      </c>
      <c r="D33" s="82">
        <f>D30</f>
        <v>92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498104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54881+12342+1205</f>
        <v>68428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12026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637738</v>
      </c>
      <c r="D37" s="82">
        <v>558565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88107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1383869</v>
      </c>
      <c r="D41" s="82">
        <v>1345985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4325</v>
      </c>
      <c r="D42" s="82">
        <v>4253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181715+185621+5628+55387+156018+32020+37213+141559</f>
        <v>795161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40818+132073</f>
        <v>172891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84342+15901+696</f>
        <v>100939</v>
      </c>
      <c r="D50" s="114">
        <f>D51</f>
        <v>0.6</v>
      </c>
      <c r="E50" s="266"/>
    </row>
    <row r="51" spans="2:5" x14ac:dyDescent="0.35">
      <c r="B51" s="9" t="s">
        <v>34</v>
      </c>
      <c r="C51" s="91">
        <v>176336</v>
      </c>
      <c r="D51" s="114">
        <v>0.6</v>
      </c>
      <c r="E51" s="266"/>
    </row>
    <row r="52" spans="2:5" x14ac:dyDescent="0.35">
      <c r="B52" s="9" t="s">
        <v>36</v>
      </c>
      <c r="C52" s="91">
        <f>19344</f>
        <v>19344</v>
      </c>
      <c r="D52" s="114">
        <v>0.5</v>
      </c>
      <c r="E52" s="266"/>
    </row>
    <row r="53" spans="2:5" x14ac:dyDescent="0.35">
      <c r="B53" s="2" t="s">
        <v>143</v>
      </c>
      <c r="C53" s="91">
        <v>22728</v>
      </c>
      <c r="D53" s="114">
        <f>D50</f>
        <v>0.6</v>
      </c>
      <c r="E53" s="266"/>
    </row>
    <row r="54" spans="2:5" x14ac:dyDescent="0.35">
      <c r="B54" s="9" t="s">
        <v>228</v>
      </c>
      <c r="C54" s="91">
        <f>20726+8096</f>
        <v>28822</v>
      </c>
      <c r="D54" s="114">
        <v>0.1</v>
      </c>
      <c r="E54" s="266"/>
    </row>
    <row r="55" spans="2:5" x14ac:dyDescent="0.35">
      <c r="B55" s="9" t="s">
        <v>39</v>
      </c>
      <c r="C55" s="91">
        <v>12616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507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75495</f>
        <v>75495</v>
      </c>
      <c r="D60" s="114">
        <f>D49</f>
        <v>0.8</v>
      </c>
      <c r="E60" s="266"/>
    </row>
    <row r="61" spans="2:5" x14ac:dyDescent="0.35">
      <c r="B61" s="9" t="s">
        <v>55</v>
      </c>
      <c r="C61" s="91">
        <f>6083+176712</f>
        <v>182795</v>
      </c>
      <c r="D61" s="114">
        <f>D51</f>
        <v>0.6</v>
      </c>
      <c r="E61" s="266"/>
    </row>
    <row r="62" spans="2:5" x14ac:dyDescent="0.35">
      <c r="B62" s="9" t="s">
        <v>57</v>
      </c>
      <c r="C62" s="91">
        <v>5625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185013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94862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680172+86890+14650</f>
        <v>781712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2319+31972</f>
        <v>34291</v>
      </c>
      <c r="D70" s="114">
        <v>0.05</v>
      </c>
      <c r="E70" s="266"/>
    </row>
    <row r="71" spans="2:5" x14ac:dyDescent="0.35">
      <c r="B71" s="9" t="s">
        <v>67</v>
      </c>
      <c r="C71" s="91">
        <v>47891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35301+44439</f>
        <v>79740</v>
      </c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33448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554255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62222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83483</v>
      </c>
    </row>
    <row r="83" spans="2:8" ht="12" hidden="1" thickTop="1" x14ac:dyDescent="0.35">
      <c r="B83" s="98" t="s">
        <v>250</v>
      </c>
      <c r="C83" s="84">
        <v>1379544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372597</v>
      </c>
      <c r="D91" s="103"/>
      <c r="E91" s="104">
        <f>C91</f>
        <v>372597</v>
      </c>
      <c r="F91" s="104">
        <f>C91</f>
        <v>372597</v>
      </c>
    </row>
    <row r="92" spans="2:8" x14ac:dyDescent="0.35">
      <c r="B92" s="105" t="s">
        <v>97</v>
      </c>
      <c r="C92" s="102">
        <f>C26</f>
        <v>0</v>
      </c>
      <c r="D92" s="106">
        <f>C92/C91</f>
        <v>0</v>
      </c>
      <c r="E92" s="107">
        <f>E91*D92</f>
        <v>0</v>
      </c>
      <c r="F92" s="107">
        <f>F91*D92</f>
        <v>0</v>
      </c>
    </row>
    <row r="93" spans="2:8" x14ac:dyDescent="0.35">
      <c r="B93" s="105" t="s">
        <v>218</v>
      </c>
      <c r="C93" s="102">
        <f>C27+C28</f>
        <v>274766</v>
      </c>
      <c r="D93" s="106">
        <f>C93/C91</f>
        <v>0.73743481563190261</v>
      </c>
      <c r="E93" s="107">
        <f>E91*D93</f>
        <v>274766</v>
      </c>
      <c r="F93" s="107">
        <f>F91*D93</f>
        <v>274766</v>
      </c>
    </row>
    <row r="94" spans="2:8" x14ac:dyDescent="0.35">
      <c r="B94" s="105" t="s">
        <v>224</v>
      </c>
      <c r="C94" s="102">
        <f>C29</f>
        <v>1981</v>
      </c>
      <c r="D94" s="106">
        <f>C94/C91</f>
        <v>5.3167363129601151E-3</v>
      </c>
      <c r="E94" s="108"/>
      <c r="F94" s="107">
        <f>F91*D94</f>
        <v>1981</v>
      </c>
    </row>
    <row r="95" spans="2:8" x14ac:dyDescent="0.35">
      <c r="B95" s="18" t="s">
        <v>217</v>
      </c>
      <c r="C95" s="102">
        <f>ABS(MAX(C33,0)-C32)</f>
        <v>84651</v>
      </c>
      <c r="D95" s="106">
        <f>C95/C91</f>
        <v>0.22719184534497058</v>
      </c>
      <c r="E95" s="107">
        <f>E91*D95</f>
        <v>84651</v>
      </c>
      <c r="F95" s="107">
        <f>F91*D95</f>
        <v>84651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261.33333333333331</v>
      </c>
      <c r="D97" s="106">
        <f>C97/C91</f>
        <v>7.0138335341758879E-4</v>
      </c>
      <c r="E97" s="108"/>
      <c r="F97" s="107">
        <f>F91*D97</f>
        <v>261.33333333333331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0762.HK</v>
      </c>
      <c r="D3" s="312"/>
      <c r="E3" s="3"/>
      <c r="F3" s="9" t="s">
        <v>1</v>
      </c>
      <c r="G3" s="10">
        <v>7.37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中国联通</v>
      </c>
      <c r="D4" s="314"/>
      <c r="E4" s="3"/>
      <c r="F4" s="9" t="s">
        <v>2</v>
      </c>
      <c r="G4" s="317">
        <f>Inputs!C10</f>
        <v>30598124345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45624</v>
      </c>
      <c r="D5" s="316"/>
      <c r="E5" s="16"/>
      <c r="F5" s="12" t="s">
        <v>91</v>
      </c>
      <c r="G5" s="320">
        <f>G3*G4/1000000</f>
        <v>225508.17642264999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7.0726027344301209E-2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0.18430733569877825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1.4654168333884241</v>
      </c>
      <c r="F23" s="39" t="s">
        <v>165</v>
      </c>
      <c r="G23" s="40">
        <f>G3/(Data!C34*Data!C4/Common_Shares*Exchange_Rate)</f>
        <v>0.15317662359481587</v>
      </c>
    </row>
    <row r="24" spans="1:8" ht="15.75" customHeight="1" x14ac:dyDescent="0.35">
      <c r="B24" s="41" t="s">
        <v>241</v>
      </c>
      <c r="C24" s="42">
        <f>Fin_Analysis!I81</f>
        <v>5.3167363129601151E-3</v>
      </c>
      <c r="F24" s="39" t="s">
        <v>226</v>
      </c>
      <c r="G24" s="43">
        <f>G3/(Fin_Analysis!H86*G7)</f>
        <v>25.840536484629158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0.22719184534497058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1.9671420974541292</v>
      </c>
      <c r="D29" s="54">
        <f>G29*(1+G20)</f>
        <v>3.6832126799202616</v>
      </c>
      <c r="E29" s="3"/>
      <c r="F29" s="55">
        <f>IF(Fin_Analysis!C108="Profit",Fin_Analysis!F100,IF(Fin_Analysis!C108="Dividend",Fin_Analysis!F103,Fin_Analysis!F106))</f>
        <v>2.3142848205342696</v>
      </c>
      <c r="G29" s="319">
        <f>IF(Fin_Analysis!C108="Profit",Fin_Analysis!I100,IF(Fin_Analysis!C108="Dividend",Fin_Analysis!I103,Fin_Analysis!I106))</f>
        <v>3.2027936347132711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97569.666666666672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372597</v>
      </c>
      <c r="D6" s="147">
        <f>IF(Inputs!D25="","",Inputs!D25)</f>
        <v>354944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4.9734606022358463E-2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0</v>
      </c>
      <c r="D8" s="149">
        <f>IF(Inputs!D26="","",Inputs!D26)</f>
        <v>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372597</v>
      </c>
      <c r="D9" s="279">
        <f t="shared" si="2"/>
        <v>354944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274766</v>
      </c>
      <c r="D10" s="149">
        <f>IF(Inputs!D27="","",Inputs!D27)</f>
        <v>256870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261.33333333333331</v>
      </c>
      <c r="D12" s="149">
        <f>IF(Inputs!D30="","",MAX(Inputs!D30,0)/(1-Fin_Analysis!$I$84))</f>
        <v>122.66666666666667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0.26186380101467988</v>
      </c>
      <c r="D13" s="300">
        <f t="shared" si="3"/>
        <v>0.27596278098329124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97569.666666666672</v>
      </c>
      <c r="D14" s="302">
        <f t="shared" ref="D14:M14" si="4">IF(D6="","",D9-D10-MAX(D11,0)-MAX(D12,0))</f>
        <v>97951.333333333328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-3.8964928161603074E-3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1981</v>
      </c>
      <c r="D17" s="149">
        <f>IF(Inputs!D29="","",Inputs!D29)</f>
        <v>1095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0.22771788286003378</v>
      </c>
      <c r="D18" s="233">
        <f t="shared" si="6"/>
        <v>0.2446273214929679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84847</v>
      </c>
      <c r="D19" s="149">
        <f>IF(Inputs!D32="","",Inputs!D32)</f>
        <v>86829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5.2603751506319157E-4</v>
      </c>
      <c r="D20" s="233">
        <f t="shared" si="7"/>
        <v>2.5919581680490446E-4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196</v>
      </c>
      <c r="D21" s="149">
        <f>IF(Inputs!D33="","",Inputs!D33)</f>
        <v>92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10937.666666666672</v>
      </c>
      <c r="D22" s="283">
        <f t="shared" ref="D22:M22" si="8">IF(D6="","",D14-MAX(D16,0)-MAX(D17,0)-ABS(MAX(D21,0)-MAX(D19,0)))</f>
        <v>10119.333333333328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2.201641451756188E-2</v>
      </c>
      <c r="D23" s="148">
        <f t="shared" si="9"/>
        <v>2.1382246213487187E-2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8203.2500000000036</v>
      </c>
      <c r="D24" s="282">
        <f>IF(D6="","",D22*(1-Fin_Analysis!$I$84))</f>
        <v>7589.4999999999964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8.0868304894921611E-2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2021607</v>
      </c>
      <c r="D27" s="153">
        <f>IF(D34="","",D34+D30)</f>
        <v>1904550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100939</v>
      </c>
      <c r="D28" s="149">
        <f>IF(Inputs!D35="","",Inputs!D35)</f>
        <v>68428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12616</v>
      </c>
      <c r="D29" s="149">
        <f>IF(Inputs!D36="","",Inputs!D36)</f>
        <v>12026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637738</v>
      </c>
      <c r="D30" s="149">
        <f>IF(Inputs!D37="","",Inputs!D37)</f>
        <v>558565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33448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62222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95670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1383869</v>
      </c>
      <c r="D34" s="149">
        <f>IF(Inputs!D41="","",Inputs!D41)</f>
        <v>1345985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4325</v>
      </c>
      <c r="D35" s="149">
        <f>IF(Inputs!D42="","",Inputs!D42)</f>
        <v>4253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795161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1204108</v>
      </c>
      <c r="D37" s="153">
        <f t="shared" ref="D37:M37" si="32">IF(D36="","",D27-D36)</f>
        <v>1109389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8.1030660594121687E-2</v>
      </c>
      <c r="D38" s="154">
        <f>IF(D6="","",D14/MAX(D37,0))</f>
        <v>8.8293045391051581E-2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2.9355219356749174E-2</v>
      </c>
      <c r="D46" s="289">
        <f t="shared" si="40"/>
        <v>2.8509661617982917E-2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0.18430733569877825</v>
      </c>
      <c r="D48" s="159">
        <f t="shared" si="41"/>
        <v>0.18636633325457458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0.68239969489618901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0.11432702693285954</v>
      </c>
      <c r="D54" s="160">
        <f t="shared" si="46"/>
        <v>9.8308948776238456E-2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7.0726027344301209E-2</v>
      </c>
      <c r="D58" s="162">
        <f t="shared" si="49"/>
        <v>7.300365000859585E-2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7.9284652513197627E-3</v>
      </c>
      <c r="D59" s="162">
        <f t="shared" si="50"/>
        <v>7.5419929861800482E-3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1383869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1379544</v>
      </c>
      <c r="K3" s="75"/>
    </row>
    <row r="4" spans="1:11" ht="15" customHeight="1" x14ac:dyDescent="0.35">
      <c r="B4" s="9" t="s">
        <v>21</v>
      </c>
      <c r="C4" s="3"/>
      <c r="D4" s="149">
        <f>Inputs!C42</f>
        <v>4325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-23676.150000000023</v>
      </c>
      <c r="E6" s="176">
        <f>1-D6/D3</f>
        <v>1.017108664187145</v>
      </c>
      <c r="F6" s="3"/>
      <c r="G6" s="3"/>
      <c r="H6" s="2" t="s">
        <v>24</v>
      </c>
      <c r="I6" s="174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0.81220016057590816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172891</v>
      </c>
      <c r="D11" s="264">
        <f>Inputs!D48</f>
        <v>0.9</v>
      </c>
      <c r="E11" s="182">
        <f t="shared" ref="E11:E22" si="0">C11*D11</f>
        <v>155601.9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33448</v>
      </c>
      <c r="J12" s="3"/>
      <c r="K12" s="75"/>
    </row>
    <row r="13" spans="1:11" ht="11.65" x14ac:dyDescent="0.35">
      <c r="B13" s="9" t="s">
        <v>107</v>
      </c>
      <c r="C13" s="181">
        <f>Inputs!C50</f>
        <v>100939</v>
      </c>
      <c r="D13" s="264">
        <f>Inputs!D50</f>
        <v>0.6</v>
      </c>
      <c r="E13" s="182">
        <f t="shared" si="0"/>
        <v>60563.399999999994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176336</v>
      </c>
      <c r="D14" s="264">
        <f>Inputs!D51</f>
        <v>0.6</v>
      </c>
      <c r="E14" s="182">
        <f t="shared" si="0"/>
        <v>105801.59999999999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19344</v>
      </c>
      <c r="D15" s="264">
        <f>Inputs!D52</f>
        <v>0.5</v>
      </c>
      <c r="E15" s="182">
        <f t="shared" si="0"/>
        <v>9672</v>
      </c>
      <c r="F15" s="266"/>
      <c r="G15" s="3"/>
      <c r="H15" s="2" t="s">
        <v>46</v>
      </c>
      <c r="I15" s="186">
        <f>SUM(I11:I14)</f>
        <v>33448</v>
      </c>
      <c r="J15" s="3"/>
    </row>
    <row r="16" spans="1:11" ht="11.65" x14ac:dyDescent="0.35">
      <c r="B16" s="2" t="s">
        <v>143</v>
      </c>
      <c r="C16" s="181">
        <f>Inputs!C53</f>
        <v>22728</v>
      </c>
      <c r="D16" s="264">
        <f>Inputs!D53</f>
        <v>0.6</v>
      </c>
      <c r="E16" s="182">
        <f t="shared" si="0"/>
        <v>13636.8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28822</v>
      </c>
      <c r="D17" s="264">
        <f>Inputs!D54</f>
        <v>0.1</v>
      </c>
      <c r="E17" s="182">
        <f t="shared" si="0"/>
        <v>2882.2000000000003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12616</v>
      </c>
      <c r="D18" s="264">
        <f>Inputs!D55</f>
        <v>0.5</v>
      </c>
      <c r="E18" s="182">
        <f t="shared" si="0"/>
        <v>6308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507</v>
      </c>
      <c r="D21" s="264">
        <f>Inputs!D58</f>
        <v>0.9</v>
      </c>
      <c r="E21" s="182">
        <f t="shared" si="0"/>
        <v>456.3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520807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450166</v>
      </c>
      <c r="D24" s="191">
        <f>IF(E24=0,0,E24/C24)</f>
        <v>0.71521816396618132</v>
      </c>
      <c r="E24" s="182">
        <f>SUM(E11:E14)</f>
        <v>321966.89999999997</v>
      </c>
      <c r="F24" s="192">
        <f>E24/$E$28</f>
        <v>0.90714782000111571</v>
      </c>
      <c r="G24" s="3"/>
    </row>
    <row r="25" spans="2:10" ht="15" customHeight="1" x14ac:dyDescent="0.35">
      <c r="B25" s="189" t="s">
        <v>47</v>
      </c>
      <c r="C25" s="190">
        <f>SUM(C15:C17)</f>
        <v>70894</v>
      </c>
      <c r="D25" s="191">
        <f>IF(E25=0,0,E25/C25)</f>
        <v>0.36943888058227775</v>
      </c>
      <c r="E25" s="182">
        <f>SUM(E15:E17)</f>
        <v>26191</v>
      </c>
      <c r="F25" s="192">
        <f>E25/$E$28</f>
        <v>7.3793637028058551E-2</v>
      </c>
      <c r="G25" s="3"/>
      <c r="H25" s="189" t="s">
        <v>48</v>
      </c>
      <c r="I25" s="174">
        <f>E28/I28</f>
        <v>0.64035904051384285</v>
      </c>
    </row>
    <row r="26" spans="2:10" ht="15" customHeight="1" x14ac:dyDescent="0.35">
      <c r="B26" s="189" t="s">
        <v>49</v>
      </c>
      <c r="C26" s="190">
        <f>C18+C19+C20</f>
        <v>12616</v>
      </c>
      <c r="D26" s="191">
        <f>IF(E26=0,0,E26/C26)</f>
        <v>0.5</v>
      </c>
      <c r="E26" s="182">
        <f>E18+E19+E20</f>
        <v>6308</v>
      </c>
      <c r="F26" s="192">
        <f>E26/$E$28</f>
        <v>1.7772909105150371E-2</v>
      </c>
      <c r="G26" s="3"/>
      <c r="H26" s="189" t="s">
        <v>50</v>
      </c>
      <c r="I26" s="174">
        <f>E24/($I$28-I22)</f>
        <v>9.6258939248983495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507</v>
      </c>
      <c r="D27" s="191">
        <f>IF(E27=0,0,E27/C27)</f>
        <v>0.9</v>
      </c>
      <c r="E27" s="182">
        <f>E21+E22</f>
        <v>456.3</v>
      </c>
      <c r="F27" s="192">
        <f>E27/$E$28</f>
        <v>1.2856338656753511E-3</v>
      </c>
      <c r="G27" s="3"/>
      <c r="H27" s="189" t="s">
        <v>52</v>
      </c>
      <c r="I27" s="174">
        <f>(E25+E24)/$I$28</f>
        <v>0.62815473022345303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534183</v>
      </c>
      <c r="D28" s="196">
        <f>E28/C28</f>
        <v>0.66442061989992185</v>
      </c>
      <c r="E28" s="197">
        <f>SUM(E24:E27)</f>
        <v>354922.19999999995</v>
      </c>
      <c r="F28" s="92"/>
      <c r="G28" s="3"/>
      <c r="H28" s="194" t="s">
        <v>15</v>
      </c>
      <c r="I28" s="167">
        <f>Inputs!C77</f>
        <v>554255</v>
      </c>
      <c r="J28" s="198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75495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182795</v>
      </c>
      <c r="D31" s="264">
        <f>Inputs!D61</f>
        <v>0.6</v>
      </c>
      <c r="E31" s="182">
        <f t="shared" ref="E31:E42" si="1">C31*D31</f>
        <v>109677</v>
      </c>
      <c r="F31" s="266"/>
      <c r="G31" s="3"/>
      <c r="H31" s="9" t="s">
        <v>56</v>
      </c>
      <c r="I31" s="181">
        <f>Inputs!C79</f>
        <v>62222</v>
      </c>
      <c r="J31" s="3"/>
    </row>
    <row r="32" spans="2:10" ht="15" customHeight="1" x14ac:dyDescent="0.35">
      <c r="B32" s="9" t="s">
        <v>57</v>
      </c>
      <c r="C32" s="181">
        <f>Inputs!C62</f>
        <v>5625</v>
      </c>
      <c r="D32" s="264">
        <f>Inputs!D62</f>
        <v>0.5</v>
      </c>
      <c r="E32" s="182">
        <f t="shared" si="1"/>
        <v>2812.5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62222</v>
      </c>
      <c r="J34" s="3"/>
    </row>
    <row r="35" spans="2:10" ht="11.65" x14ac:dyDescent="0.35">
      <c r="B35" s="9" t="s">
        <v>62</v>
      </c>
      <c r="C35" s="181">
        <f>Inputs!C65</f>
        <v>185013</v>
      </c>
      <c r="D35" s="264">
        <f>Inputs!D65</f>
        <v>0.1</v>
      </c>
      <c r="E35" s="182">
        <f t="shared" si="1"/>
        <v>18501.3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94862</v>
      </c>
      <c r="D37" s="264">
        <f>Inputs!D67</f>
        <v>0.1</v>
      </c>
      <c r="E37" s="182">
        <f t="shared" si="1"/>
        <v>9486.2000000000007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781712</v>
      </c>
      <c r="D38" s="264">
        <f>Inputs!D68</f>
        <v>0.1</v>
      </c>
      <c r="E38" s="182">
        <f t="shared" si="1"/>
        <v>78171.199999999997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34291</v>
      </c>
      <c r="D40" s="264">
        <f>Inputs!D70</f>
        <v>0.05</v>
      </c>
      <c r="E40" s="182">
        <f t="shared" si="1"/>
        <v>1714.5500000000002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47891</v>
      </c>
      <c r="D41" s="264">
        <f>Inputs!D71</f>
        <v>0.9</v>
      </c>
      <c r="E41" s="182">
        <f t="shared" si="1"/>
        <v>43101.9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79740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258290</v>
      </c>
      <c r="D44" s="191">
        <f>IF(E44=0,0,E44/C44)</f>
        <v>0.42462735684695496</v>
      </c>
      <c r="E44" s="182">
        <f>SUM(E30:E31)</f>
        <v>109677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190638</v>
      </c>
      <c r="D45" s="191">
        <f>IF(E45=0,0,E45/C45)</f>
        <v>0.11180247379850816</v>
      </c>
      <c r="E45" s="182">
        <f>SUM(E32:E35)</f>
        <v>21313.8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876574</v>
      </c>
      <c r="D46" s="191">
        <f>IF(E46=0,0,E46/C46)</f>
        <v>9.9999999999999992E-2</v>
      </c>
      <c r="E46" s="182">
        <f>E36+E37+E38+E39</f>
        <v>87657.4</v>
      </c>
      <c r="F46" s="3"/>
      <c r="G46" s="3"/>
      <c r="H46" s="189" t="s">
        <v>73</v>
      </c>
      <c r="I46" s="174">
        <f>(E44+E24)/E64</f>
        <v>4.5117999372844144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161922</v>
      </c>
      <c r="D47" s="191">
        <f>IF(E47=0,0,E47/C47)</f>
        <v>0.27677801657588225</v>
      </c>
      <c r="E47" s="182">
        <f>E40+E41+E42</f>
        <v>44816.450000000004</v>
      </c>
      <c r="F47" s="3"/>
      <c r="G47" s="3"/>
      <c r="H47" s="189" t="s">
        <v>75</v>
      </c>
      <c r="I47" s="174">
        <f>(E44+E45+E24+E25)/$I$49</f>
        <v>0.75132530913948981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1487424</v>
      </c>
      <c r="D48" s="201">
        <f>E48/C48</f>
        <v>0.17712814234542404</v>
      </c>
      <c r="E48" s="202">
        <f>SUM(E30:E42)</f>
        <v>263464.65000000002</v>
      </c>
      <c r="F48" s="3"/>
      <c r="G48" s="3"/>
      <c r="H48" s="96" t="s">
        <v>77</v>
      </c>
      <c r="I48" s="203">
        <f>I49-I28</f>
        <v>83483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2021607</v>
      </c>
      <c r="D49" s="176">
        <f>E49/C49</f>
        <v>0.30588875582642916</v>
      </c>
      <c r="E49" s="182">
        <f>E28+E48</f>
        <v>618386.85</v>
      </c>
      <c r="F49" s="3"/>
      <c r="G49" s="3"/>
      <c r="H49" s="9" t="s">
        <v>78</v>
      </c>
      <c r="I49" s="181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4325</v>
      </c>
      <c r="D53" s="34">
        <f>IF(E53=0, 0,E53/C53)</f>
        <v>1</v>
      </c>
      <c r="E53" s="182">
        <f>IF(C53=0,0,MAX(C53,C53*Dashboard!G23))</f>
        <v>4325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95670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569113</v>
      </c>
      <c r="D61" s="176">
        <f t="shared" ref="D61:D70" si="2">IF(E61=0,0,E61/C61)</f>
        <v>0.43306759817470336</v>
      </c>
      <c r="E61" s="188">
        <f>E14+E15+(E19*G19)+(E20*G20)+E31+E32+(E35*G35)+(E36*G36)+(E37*G37)</f>
        <v>246464.39999999997</v>
      </c>
      <c r="F61" s="3"/>
      <c r="G61" s="3"/>
      <c r="H61" s="2" t="s">
        <v>256</v>
      </c>
      <c r="I61" s="209">
        <f>C99*Data!$C$4/Common_Shares</f>
        <v>-0.67280125683192604</v>
      </c>
      <c r="K61" s="178"/>
    </row>
    <row r="62" spans="2:11" ht="11.65" x14ac:dyDescent="0.35">
      <c r="B62" s="12" t="s">
        <v>129</v>
      </c>
      <c r="C62" s="210">
        <f>C11+C30</f>
        <v>248386</v>
      </c>
      <c r="D62" s="211">
        <f t="shared" si="2"/>
        <v>0.62645197394378105</v>
      </c>
      <c r="E62" s="212">
        <f>E11+E30</f>
        <v>155601.9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817499</v>
      </c>
      <c r="D63" s="34">
        <f t="shared" si="2"/>
        <v>0.49182482180406328</v>
      </c>
      <c r="E63" s="190">
        <f>E61+E62</f>
        <v>402066.29999999993</v>
      </c>
      <c r="F63" s="3"/>
      <c r="G63" s="3"/>
      <c r="H63" s="2" t="s">
        <v>257</v>
      </c>
      <c r="I63" s="213">
        <f>IF(I61&gt;0,FV(I62,D93,0,-I61),I61)</f>
        <v>-0.67280125683192604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95670</v>
      </c>
      <c r="F64" s="3"/>
      <c r="G64" s="3"/>
      <c r="H64" s="2" t="s">
        <v>258</v>
      </c>
      <c r="I64" s="213">
        <f>IF(I61&gt;0,PV(C94,D93,0,-I63),I61)</f>
        <v>-0.67280125683192604</v>
      </c>
      <c r="K64" s="178"/>
    </row>
    <row r="65" spans="1:11" ht="12" thickTop="1" x14ac:dyDescent="0.35">
      <c r="B65" s="9" t="s">
        <v>132</v>
      </c>
      <c r="C65" s="208">
        <f>C63-E64</f>
        <v>721829</v>
      </c>
      <c r="D65" s="34">
        <f t="shared" si="2"/>
        <v>0.42447213952334961</v>
      </c>
      <c r="E65" s="190">
        <f>E63-E64</f>
        <v>306396.29999999993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1204108</v>
      </c>
      <c r="D68" s="34">
        <f t="shared" si="2"/>
        <v>0.17965211592315644</v>
      </c>
      <c r="E68" s="208">
        <f>E49-E63</f>
        <v>216320.55000000005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542068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662040</v>
      </c>
      <c r="D70" s="34">
        <f t="shared" si="2"/>
        <v>-0.49203590417497423</v>
      </c>
      <c r="E70" s="208">
        <f>E68-E69</f>
        <v>-325747.44999999995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372597</v>
      </c>
      <c r="D74" s="103"/>
      <c r="E74" s="262">
        <f>Inputs!E91</f>
        <v>372597</v>
      </c>
      <c r="F74" s="103"/>
      <c r="H74" s="262">
        <f>Inputs!F91</f>
        <v>372597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0</v>
      </c>
      <c r="D75" s="106">
        <f>C75/$C$74</f>
        <v>0</v>
      </c>
      <c r="E75" s="262">
        <f>Inputs!E92</f>
        <v>0</v>
      </c>
      <c r="F75" s="217">
        <f>E75/E74</f>
        <v>0</v>
      </c>
      <c r="H75" s="262">
        <f>Inputs!F92</f>
        <v>0</v>
      </c>
      <c r="I75" s="217">
        <f>H75/$H$74</f>
        <v>0</v>
      </c>
      <c r="K75" s="75"/>
    </row>
    <row r="76" spans="1:11" ht="15" customHeight="1" x14ac:dyDescent="0.35">
      <c r="B76" s="12" t="s">
        <v>87</v>
      </c>
      <c r="C76" s="150">
        <f>C74-C75</f>
        <v>372597</v>
      </c>
      <c r="D76" s="218"/>
      <c r="E76" s="219">
        <f>E74-E75</f>
        <v>372597</v>
      </c>
      <c r="F76" s="218"/>
      <c r="H76" s="219">
        <f>H74-H75</f>
        <v>372597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274766</v>
      </c>
      <c r="D77" s="106">
        <f>C77/$C$74</f>
        <v>0.73743481563190261</v>
      </c>
      <c r="E77" s="262">
        <f>Inputs!E93</f>
        <v>274766</v>
      </c>
      <c r="F77" s="217">
        <f>E77/E74</f>
        <v>0.73743481563190261</v>
      </c>
      <c r="H77" s="262">
        <f>Inputs!F93</f>
        <v>274766</v>
      </c>
      <c r="I77" s="217">
        <f>H77/$H$74</f>
        <v>0.73743481563190261</v>
      </c>
      <c r="K77" s="75"/>
    </row>
    <row r="78" spans="1:11" ht="15" customHeight="1" x14ac:dyDescent="0.35">
      <c r="B78" s="98" t="s">
        <v>152</v>
      </c>
      <c r="C78" s="102">
        <f>MAX(Data!C12,0)</f>
        <v>261.33333333333331</v>
      </c>
      <c r="D78" s="106">
        <f>C78/$C$74</f>
        <v>7.0138335341758879E-4</v>
      </c>
      <c r="E78" s="220">
        <f>E74*F78</f>
        <v>261.33333333333331</v>
      </c>
      <c r="F78" s="217">
        <f>I78</f>
        <v>7.0138335341758879E-4</v>
      </c>
      <c r="H78" s="262">
        <f>Inputs!F97</f>
        <v>261.33333333333331</v>
      </c>
      <c r="I78" s="217">
        <f>H78/$H$74</f>
        <v>7.0138335341758879E-4</v>
      </c>
      <c r="K78" s="75"/>
    </row>
    <row r="79" spans="1:11" ht="15" customHeight="1" x14ac:dyDescent="0.35">
      <c r="B79" s="221" t="s">
        <v>205</v>
      </c>
      <c r="C79" s="222">
        <f>C76-C77-C78</f>
        <v>97569.666666666672</v>
      </c>
      <c r="D79" s="223">
        <f>C79/C74</f>
        <v>0.26186380101467988</v>
      </c>
      <c r="E79" s="224">
        <f>E76-E77-E78</f>
        <v>97569.666666666672</v>
      </c>
      <c r="F79" s="223">
        <f>E79/E74</f>
        <v>0.26186380101467988</v>
      </c>
      <c r="G79" s="225"/>
      <c r="H79" s="224">
        <f>H76-H77-H78</f>
        <v>97569.666666666672</v>
      </c>
      <c r="I79" s="223">
        <f>H79/H74</f>
        <v>0.26186380101467988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1981</v>
      </c>
      <c r="D81" s="106">
        <f>C81/$C$74</f>
        <v>5.3167363129601151E-3</v>
      </c>
      <c r="E81" s="220">
        <f>E74*F81</f>
        <v>1981</v>
      </c>
      <c r="F81" s="217">
        <f>I81</f>
        <v>5.3167363129601151E-3</v>
      </c>
      <c r="H81" s="262">
        <f>Inputs!F94</f>
        <v>1981</v>
      </c>
      <c r="I81" s="217">
        <f>H81/$H$74</f>
        <v>5.3167363129601151E-3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84651</v>
      </c>
      <c r="D82" s="106">
        <f>C82/$C$74</f>
        <v>0.22719184534497058</v>
      </c>
      <c r="E82" s="262">
        <f>Inputs!E95</f>
        <v>84651</v>
      </c>
      <c r="F82" s="217">
        <f>E82/E74</f>
        <v>0.22719184534497058</v>
      </c>
      <c r="H82" s="262">
        <f>Inputs!F95</f>
        <v>84651</v>
      </c>
      <c r="I82" s="217">
        <f>H82/$H$74</f>
        <v>0.22719184534497058</v>
      </c>
      <c r="K82" s="75"/>
    </row>
    <row r="83" spans="1:11" ht="15" customHeight="1" thickBot="1" x14ac:dyDescent="0.4">
      <c r="B83" s="227" t="s">
        <v>115</v>
      </c>
      <c r="C83" s="228">
        <f>C79-C81-C82-C80</f>
        <v>10937.666666666672</v>
      </c>
      <c r="D83" s="229">
        <f>C83/$C$74</f>
        <v>2.9355219356749174E-2</v>
      </c>
      <c r="E83" s="230">
        <f>E79-E81-E82-E80</f>
        <v>10937.666666666672</v>
      </c>
      <c r="F83" s="229">
        <f>E83/E74</f>
        <v>2.9355219356749174E-2</v>
      </c>
      <c r="H83" s="230">
        <f>H79-H81-H82-H80</f>
        <v>10937.666666666672</v>
      </c>
      <c r="I83" s="229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8203.2500000000036</v>
      </c>
      <c r="D85" s="223">
        <f>C85/$C$74</f>
        <v>2.201641451756188E-2</v>
      </c>
      <c r="E85" s="235">
        <f>E83*(1-F84)</f>
        <v>8203.2500000000036</v>
      </c>
      <c r="F85" s="223">
        <f>E85/E74</f>
        <v>2.201641451756188E-2</v>
      </c>
      <c r="G85" s="225"/>
      <c r="H85" s="235">
        <f>H83*(1-I84)</f>
        <v>8203.2500000000036</v>
      </c>
      <c r="I85" s="223">
        <f>H85/$H$74</f>
        <v>2.201641451756188E-2</v>
      </c>
      <c r="K85" s="75"/>
    </row>
    <row r="86" spans="1:11" ht="15" customHeight="1" x14ac:dyDescent="0.35">
      <c r="B86" s="3" t="s">
        <v>145</v>
      </c>
      <c r="C86" s="236">
        <f>C85*Data!C4/Common_Shares</f>
        <v>0.26809649857967477</v>
      </c>
      <c r="D86" s="103"/>
      <c r="E86" s="237">
        <f>E85*Data!C4/Common_Shares</f>
        <v>0.26809649857967477</v>
      </c>
      <c r="F86" s="103"/>
      <c r="H86" s="237">
        <f>H85*Data!C4/Common_Shares</f>
        <v>0.26809649857967477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3.8698886944349413E-2</v>
      </c>
      <c r="D87" s="103"/>
      <c r="E87" s="239">
        <f>E86*Exchange_Rate/Dashboard!G3</f>
        <v>3.8698886944349413E-2</v>
      </c>
      <c r="F87" s="103"/>
      <c r="H87" s="239">
        <f>H86*Exchange_Rate/Dashboard!G3</f>
        <v>3.8698886944349413E-2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5.4874332719688192</v>
      </c>
      <c r="H93" s="3" t="s">
        <v>184</v>
      </c>
      <c r="I93" s="243">
        <f>FV(H87,D93,0,-(H86/(C93-D94)))*Exchange_Rate</f>
        <v>5.4874332719688192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96000.323378256755</v>
      </c>
      <c r="D97" s="250"/>
      <c r="E97" s="251">
        <f>PV(C94,D93,0,-F93)</f>
        <v>3.137457783223371</v>
      </c>
      <c r="F97" s="250"/>
      <c r="H97" s="251">
        <f>PV(C94,D93,0,-I93)</f>
        <v>3.137457783223371</v>
      </c>
      <c r="I97" s="251">
        <f>PV(C93,D93,0,-I93)</f>
        <v>4.0259665974023724</v>
      </c>
      <c r="K97" s="75"/>
    </row>
    <row r="98" spans="2:11" ht="15" customHeight="1" x14ac:dyDescent="0.35">
      <c r="B98" s="18" t="s">
        <v>134</v>
      </c>
      <c r="C98" s="249">
        <f>-E53*Exchange_Rate</f>
        <v>-4601.0921537876129</v>
      </c>
      <c r="D98" s="250"/>
      <c r="E98" s="250"/>
      <c r="F98" s="250"/>
      <c r="H98" s="251">
        <f>C98*Data!$C$4/Common_Shares</f>
        <v>-0.15037170585717524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-20586.456516015554</v>
      </c>
      <c r="D99" s="254"/>
      <c r="E99" s="255">
        <f>IF(H99&gt;0,I64,H99)</f>
        <v>-0.67280125683192604</v>
      </c>
      <c r="F99" s="254"/>
      <c r="H99" s="255">
        <f>I64</f>
        <v>-0.67280125683192604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1.9671420974541292</v>
      </c>
      <c r="E100" s="257">
        <f>MAX(E97+H98+E99,0)</f>
        <v>2.3142848205342696</v>
      </c>
      <c r="F100" s="257">
        <f>(E100+H100)/2</f>
        <v>2.3142848205342696</v>
      </c>
      <c r="H100" s="257">
        <f>MAX(H97+H98+H99,0)</f>
        <v>2.3142848205342696</v>
      </c>
      <c r="I100" s="257">
        <f>MAX(I97+H98+H99,0)</f>
        <v>3.2027936347132711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0.98357104872706458</v>
      </c>
      <c r="E106" s="251">
        <f>(E100+E103)/2</f>
        <v>1.1571424102671348</v>
      </c>
      <c r="F106" s="257">
        <f>(F100+F103)/2</f>
        <v>1.1571424102671348</v>
      </c>
      <c r="H106" s="251">
        <f>(H100+H103)/2</f>
        <v>1.1571424102671348</v>
      </c>
      <c r="I106" s="251">
        <f>(I100+I103)/2</f>
        <v>1.6013968173566355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