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3F0D91A-02FD-4882-B2AF-365013B85A5A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H44" i="4"/>
  <c r="G44" i="4"/>
  <c r="F44" i="4"/>
  <c r="E44" i="4"/>
  <c r="D44" i="4"/>
  <c r="C44" i="4"/>
  <c r="D32" i="4"/>
  <c r="C32" i="4"/>
  <c r="D31" i="4"/>
  <c r="C31" i="4"/>
  <c r="G2" i="1"/>
  <c r="F95" i="4" l="1"/>
  <c r="F96" i="4"/>
  <c r="F92" i="4"/>
  <c r="E92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<sst xmlns="http://schemas.openxmlformats.org/spreadsheetml/2006/main" count="403" uniqueCount="286">
  <si>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</si>
  <si>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</si>
  <si>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</si>
  <si>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</si>
  <si>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</si>
  <si>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</si>
  <si>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</si>
  <si>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</si>
  <si>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</si>
  <si>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</si>
  <si>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</si>
  <si>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</si>
  <si>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</si>
  <si>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</si>
  <si>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</si>
  <si>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</si>
  <si>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</si>
  <si>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</si>
  <si>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</si>
  <si>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</si>
  <si>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</si>
  <si>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</si>
  <si>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</si>
  <si>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</si>
  <si>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</si>
  <si>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</si>
  <si>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</si>
  <si>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</si>
  <si>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</si>
  <si>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</si>
  <si>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</si>
  <si>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</si>
  <si>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</si>
  <si>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</si>
  <si>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</si>
  <si>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</si>
  <si>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</si>
  <si>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</si>
  <si>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</si>
  <si>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</si>
  <si>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</si>
  <si>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</si>
  <si>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</si>
  <si>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</si>
  <si>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</si>
  <si>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</si>
  <si>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</si>
  <si>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</si>
  <si>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</si>
  <si>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</si>
  <si>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</si>
  <si>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</si>
  <si>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</si>
  <si>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</si>
  <si>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</si>
  <si>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</si>
  <si>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</si>
  <si>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</si>
  <si>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</si>
  <si>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</si>
  <si>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</si>
  <si>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</si>
  <si>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</si>
  <si>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</si>
  <si>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</si>
  <si>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</si>
  <si>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</si>
  <si>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</si>
  <si>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</si>
  <si>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</si>
  <si>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</si>
  <si>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</si>
  <si>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</si>
  <si>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</si>
  <si>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</si>
  <si>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</si>
  <si>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</si>
  <si>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</si>
  <si>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</si>
  <si>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</si>
  <si>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</si>
  <si>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</si>
  <si>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</si>
  <si>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</si>
  <si>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</si>
  <si>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</si>
  <si>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</si>
  <si>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</si>
  <si>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</si>
  <si>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</si>
  <si>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</si>
  <si>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</si>
  <si>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</si>
  <si>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</si>
  <si>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</si>
  <si>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</si>
  <si>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</si>
  <si>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</si>
  <si>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</si>
  <si>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</si>
  <si>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</si>
  <si>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</si>
  <si>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</si>
  <si>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</si>
  <si>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</si>
  <si>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</si>
  <si>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</si>
  <si>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</si>
  <si>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</si>
  <si>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</si>
  <si>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</si>
  <si>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</si>
  <si>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</si>
  <si>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</si>
  <si>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</si>
  <si>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</si>
  <si>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</si>
  <si>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</si>
  <si>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</si>
  <si>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</si>
  <si>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</si>
  <si>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</si>
  <si>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</si>
  <si>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</si>
  <si>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</si>
  <si>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</si>
  <si>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</si>
  <si>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</si>
  <si>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</si>
  <si>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</si>
  <si>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</si>
  <si>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</si>
  <si>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</si>
  <si>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</si>
  <si>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</si>
  <si>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</si>
  <si>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</si>
  <si>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</si>
  <si>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</si>
  <si>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</si>
  <si>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</si>
  <si>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</si>
  <si>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</si>
  <si>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</si>
  <si>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</si>
  <si>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</si>
  <si>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</si>
  <si>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</si>
  <si>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</si>
  <si>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</si>
  <si>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</si>
  <si>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</si>
  <si>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</si>
  <si>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</si>
  <si>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</si>
  <si>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</si>
  <si>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</si>
  <si>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</si>
  <si>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</si>
  <si>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</si>
  <si>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</si>
  <si>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</si>
  <si>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</si>
  <si>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</si>
  <si>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</si>
  <si>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</si>
  <si>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</si>
  <si>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</si>
  <si>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</si>
  <si>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</si>
  <si>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</si>
  <si>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</si>
  <si>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</si>
  <si>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</si>
  <si>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</si>
  <si>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</si>
  <si>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</si>
  <si>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</si>
  <si>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</si>
  <si>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</si>
  <si>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</si>
  <si>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</si>
  <si>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</si>
  <si>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</si>
  <si>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</si>
  <si>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</si>
  <si>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</si>
  <si>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</si>
  <si>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</si>
  <si>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</si>
  <si>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</si>
  <si>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</si>
  <si>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</si>
  <si>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</si>
  <si>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</si>
  <si>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</si>
  <si>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</si>
  <si>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</si>
  <si>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</si>
  <si>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</si>
  <si>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</si>
  <si>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</si>
  <si>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</si>
  <si>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</si>
  <si>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</si>
  <si>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</si>
  <si>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</si>
  <si>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</si>
  <si>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</si>
  <si>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</si>
  <si>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</si>
  <si>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</si>
  <si>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</si>
  <si>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</si>
  <si>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</si>
  <si>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</si>
  <si>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</si>
  <si>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</si>
  <si>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</si>
  <si>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</si>
  <si>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</si>
  <si>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</si>
  <si>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</si>
  <si>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</si>
  <si>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</si>
  <si>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</si>
  <si>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</si>
  <si>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</si>
  <si>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</si>
  <si>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</si>
  <si>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</si>
  <si>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</si>
  <si>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</si>
  <si>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</si>
  <si>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</si>
  <si>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</si>
  <si>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</si>
  <si>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</si>
  <si>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</si>
  <si>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</si>
  <si>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</si>
  <si>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</si>
  <si>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</si>
  <si>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</si>
  <si>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</si>
  <si>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</si>
  <si>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</si>
  <si>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</si>
  <si>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</si>
  <si>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</si>
  <si>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</si>
  <si>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</si>
  <si>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</si>
  <si>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</si>
  <si>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</si>
  <si>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</si>
  <si>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</si>
  <si>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</si>
  <si>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</si>
  <si>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</si>
  <si>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</si>
  <si>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</si>
  <si>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</si>
  <si>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</si>
  <si>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</si>
  <si>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</si>
  <si>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</si>
  <si>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</si>
  <si>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</si>
  <si>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</si>
  <si>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</si>
  <si>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</si>
  <si>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</si>
  <si>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</si>
  <si>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</si>
  <si>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</si>
  <si>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</si>
  <si>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</si>
  <si>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</si>
  <si>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</si>
  <si>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</si>
  <si>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</si>
  <si>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</si>
  <si>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0868.HK</t>
  </si>
  <si>
    <t>信義玻璃</t>
  </si>
  <si>
    <t>C0006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</si>
</sst>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283</v>
      </c>
      <c r="D4" s="66"/>
    </row>
    <row r="5" spans="1:5" x14ac:dyDescent="0.35">
      <c r="B5" s="46" t="s">
        <v>171</v>
      </c>
      <c r="C5" s="67" t="s">
        <v>284</v>
      </c>
    </row>
    <row r="6" spans="1:5" x14ac:dyDescent="0.35">
      <c r="B6" s="46" t="s">
        <v>272</v>
      </c>
      <c r="C6" s="68">
        <v>45637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285</v>
      </c>
    </row>
    <row r="10" spans="1:5" x14ac:dyDescent="0.35">
      <c r="B10" s="39" t="s">
        <v>193</v>
      </c>
      <c r="C10" s="70">
        <v>4357192919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278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217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217</v>
      </c>
      <c r="D19" s="75"/>
    </row>
    <row r="20" spans="2:13" x14ac:dyDescent="0.35">
      <c r="B20" s="57" t="s">
        <v>202</v>
      </c>
      <c r="C20" s="126" t="s">
        <v>217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279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26798520</v>
      </c>
      <c r="D25" s="80">
        <v>25745990</v>
      </c>
      <c r="E25" s="80">
        <v>30459120</v>
      </c>
      <c r="F25" s="80">
        <v>18615879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18186761</v>
      </c>
      <c r="D26" s="82">
        <v>17059615</v>
      </c>
      <c r="E26" s="82">
        <v>14681992</v>
      </c>
      <c r="F26" s="82">
        <v>10844444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3573515</v>
      </c>
      <c r="D27" s="82">
        <v>4198444</v>
      </c>
      <c r="E27" s="82">
        <v>4008221</v>
      </c>
      <c r="F27" s="82">
        <v>2747516</v>
      </c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503407</v>
      </c>
      <c r="D29" s="82">
        <v>371540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13591</v>
      </c>
      <c r="D30" s="82">
        <v>17050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>
        <f>-539556+1297916+445427</f>
        <v>1203787</v>
      </c>
      <c r="D31" s="82">
        <f>230219-849431-1055691</f>
        <v>-1674903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>
        <f>1378926+129432+3564</f>
        <v>1511922</v>
      </c>
      <c r="D32" s="82">
        <f>1355835+136557+2729</f>
        <v>1495121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>
        <v>3513900</v>
      </c>
      <c r="D33" s="82">
        <v>2624400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0.37+0.26</f>
        <v>0.63</v>
      </c>
      <c r="D44" s="86">
        <f>0.22+0.4</f>
        <v>0.62</v>
      </c>
      <c r="E44" s="86">
        <f>0.76+0.66</f>
        <v>1.42</v>
      </c>
      <c r="F44" s="86">
        <f>0.62+0.17</f>
        <v>0.79</v>
      </c>
      <c r="G44" s="86">
        <f>0.3+0.25</f>
        <v>0.55000000000000004</v>
      </c>
      <c r="H44" s="86">
        <f>0.27+0.25</f>
        <v>0.52</v>
      </c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7.8947368421052627E-2</v>
      </c>
      <c r="D45" s="87">
        <f>IF(D44="","",D44*Exchange_Rate/Dashboard!$G$3)</f>
        <v>7.7694235588972427E-2</v>
      </c>
      <c r="E45" s="87">
        <f>IF(E44="","",E44*Exchange_Rate/Dashboard!$G$3)</f>
        <v>0.17794486215538846</v>
      </c>
      <c r="F45" s="87">
        <f>IF(F44="","",F44*Exchange_Rate/Dashboard!$G$3)</f>
        <v>9.8997493734335834E-2</v>
      </c>
      <c r="G45" s="87">
        <f>IF(G44="","",G44*Exchange_Rate/Dashboard!$G$3)</f>
        <v>6.8922305764411024E-2</v>
      </c>
      <c r="H45" s="87">
        <f>IF(H44="","",H44*Exchange_Rate/Dashboard!$G$3)</f>
        <v>6.5162907268170422E-2</v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282</v>
      </c>
      <c r="C86" s="84">
        <v>5</v>
      </c>
      <c r="D86" s="305"/>
    </row>
    <row r="87" spans="2:8" x14ac:dyDescent="0.35">
      <c r="B87" s="88" t="s">
        <v>220</v>
      </c>
      <c r="C87" s="112" t="s">
        <v>280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26798520</v>
      </c>
      <c r="D91" s="103"/>
      <c r="E91" s="104">
        <f>C91</f>
        <v>26798520</v>
      </c>
      <c r="F91" s="104">
        <f>C91</f>
        <v>26798520</v>
      </c>
    </row>
    <row r="92" spans="2:8" x14ac:dyDescent="0.35">
      <c r="B92" s="105" t="s">
        <v>98</v>
      </c>
      <c r="C92" s="102">
        <f>C26</f>
        <v>18186761</v>
      </c>
      <c r="D92" s="106">
        <f>C92/C91</f>
        <v>0.67864796264868354</v>
      </c>
      <c r="E92" s="107">
        <f>E91*D92</f>
        <v>18186761</v>
      </c>
      <c r="F92" s="107">
        <f>F91*D92</f>
        <v>18186761</v>
      </c>
    </row>
    <row r="93" spans="2:8" x14ac:dyDescent="0.35">
      <c r="B93" s="105" t="s">
        <v>219</v>
      </c>
      <c r="C93" s="102">
        <f>C27+C28</f>
        <v>3573515</v>
      </c>
      <c r="D93" s="106">
        <f>C93/C91</f>
        <v>0.13334747590538581</v>
      </c>
      <c r="E93" s="107">
        <f>E91*D93</f>
        <v>3573515</v>
      </c>
      <c r="F93" s="107">
        <f>F91*D93</f>
        <v>3573515</v>
      </c>
    </row>
    <row r="94" spans="2:8" x14ac:dyDescent="0.35">
      <c r="B94" s="105" t="s">
        <v>225</v>
      </c>
      <c r="C94" s="102">
        <f>C29</f>
        <v>503407</v>
      </c>
      <c r="D94" s="106">
        <f>C94/C91</f>
        <v>1.8784880657588553E-2</v>
      </c>
      <c r="E94" s="108"/>
      <c r="F94" s="107">
        <f>F91*D94</f>
        <v>503407</v>
      </c>
    </row>
    <row r="95" spans="2:8" x14ac:dyDescent="0.35">
      <c r="B95" s="18" t="s">
        <v>218</v>
      </c>
      <c r="C95" s="102">
        <f>ABS(MAX(C33,0)-C32)</f>
        <v>2001978</v>
      </c>
      <c r="D95" s="106">
        <f>C95/C91</f>
        <v>7.4704797130587808E-2</v>
      </c>
      <c r="E95" s="107">
        <f>E91*4%</f>
        <v>1071940.8</v>
      </c>
      <c r="F95" s="107">
        <f>F91*3%</f>
        <v>803955.6</v>
      </c>
    </row>
    <row r="96" spans="2:8" x14ac:dyDescent="0.35">
      <c r="B96" s="18" t="s">
        <v>102</v>
      </c>
      <c r="C96" s="102">
        <f>MAX(C31,0)</f>
        <v>1203787</v>
      </c>
      <c r="D96" s="106">
        <f>C96/C91</f>
        <v>4.491990602466106E-2</v>
      </c>
      <c r="E96" s="108"/>
      <c r="F96" s="107">
        <f>F91*D96</f>
        <v>1203787</v>
      </c>
    </row>
    <row r="97" spans="2:6" x14ac:dyDescent="0.35">
      <c r="B97" s="98" t="s">
        <v>153</v>
      </c>
      <c r="C97" s="102">
        <f>MAX(C30,0)/(1-C16)</f>
        <v>18121.333333333332</v>
      </c>
      <c r="D97" s="106">
        <f>C97/C91</f>
        <v>6.7620649697570359E-4</v>
      </c>
      <c r="E97" s="108"/>
      <c r="F97" s="107">
        <f>F91*D97</f>
        <v>18121.333333333332</v>
      </c>
    </row>
    <row r="98" spans="2:6" x14ac:dyDescent="0.35">
      <c r="B98" s="8" t="s">
        <v>183</v>
      </c>
      <c r="C98" s="109">
        <f>C44</f>
        <v>0.63</v>
      </c>
      <c r="D98" s="110"/>
      <c r="E98" s="111">
        <f>F98</f>
        <v>0.63</v>
      </c>
      <c r="F98" s="111">
        <f>C98</f>
        <v>0.63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0868.HK : 信義玻璃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170</v>
      </c>
      <c r="C3" s="311" t="str">
        <f>Inputs!C4</f>
        <v>0868.HK</v>
      </c>
      <c r="D3" s="312"/>
      <c r="E3" s="3"/>
      <c r="F3" s="9" t="s">
        <v>1</v>
      </c>
      <c r="G3" s="10">
        <v>7.98</v>
      </c>
      <c r="H3" s="11" t="s">
        <v>260</v>
      </c>
    </row>
    <row r="4" spans="1:10" ht="15.75" customHeight="1" x14ac:dyDescent="0.35">
      <c r="B4" s="12" t="s">
        <v>171</v>
      </c>
      <c r="C4" s="313" t="str">
        <f>Inputs!C5</f>
        <v>信義玻璃</v>
      </c>
      <c r="D4" s="314"/>
      <c r="E4" s="3"/>
      <c r="F4" s="9" t="s">
        <v>3</v>
      </c>
      <c r="G4" s="317">
        <f>Inputs!C10</f>
        <v>4357192919</v>
      </c>
      <c r="H4" s="317"/>
      <c r="I4" s="14"/>
    </row>
    <row r="5" spans="1:10" ht="15.75" customHeight="1" x14ac:dyDescent="0.35">
      <c r="B5" s="9" t="s">
        <v>148</v>
      </c>
      <c r="C5" s="315">
        <f>Inputs!C6</f>
        <v>45637</v>
      </c>
      <c r="D5" s="316"/>
      <c r="E5" s="16"/>
      <c r="F5" s="12" t="s">
        <v>92</v>
      </c>
      <c r="G5" s="320">
        <f>G3*G4/1000000</f>
        <v>34770.399493620003</v>
      </c>
      <c r="H5" s="320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21" t="str">
        <f>Inputs!C11</f>
        <v>HKD</v>
      </c>
      <c r="H6" s="321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C0006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CN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 t="e">
        <f>C21*C22*C23</f>
        <v>#DIV/0!</v>
      </c>
      <c r="F20" s="3" t="s">
        <v>187</v>
      </c>
      <c r="G20" s="121">
        <v>0.15</v>
      </c>
      <c r="H20" s="307">
        <v>4</v>
      </c>
    </row>
    <row r="21" spans="1:8" ht="15.75" customHeight="1" thickTop="1" x14ac:dyDescent="0.35">
      <c r="B21" s="32" t="s">
        <v>241</v>
      </c>
      <c r="C21" s="33">
        <f>Data!C13</f>
        <v>0.18732835494895492</v>
      </c>
      <c r="F21" s="3"/>
      <c r="G21" s="34"/>
    </row>
    <row r="22" spans="1:8" ht="15.75" customHeight="1" x14ac:dyDescent="0.35">
      <c r="B22" s="35" t="s">
        <v>248</v>
      </c>
      <c r="C22" s="36" t="e">
        <f>Data!C48</f>
        <v>#DIV/0!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 t="e">
        <f>1/Data!C53</f>
        <v>#DIV/0!</v>
      </c>
      <c r="F23" s="39" t="s">
        <v>166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242</v>
      </c>
      <c r="C24" s="42">
        <f>Fin_Analysis!I81</f>
        <v>1.8784880657588553E-2</v>
      </c>
      <c r="F24" s="39" t="s">
        <v>227</v>
      </c>
      <c r="G24" s="43">
        <f>G3/(Fin_Analysis!H86*G7)</f>
        <v>18.47789172155322</v>
      </c>
    </row>
    <row r="25" spans="1:8" ht="15.75" customHeight="1" x14ac:dyDescent="0.35">
      <c r="B25" s="28" t="s">
        <v>243</v>
      </c>
      <c r="C25" s="44">
        <f>Fin_Analysis!I80</f>
        <v>4.491990602466106E-2</v>
      </c>
      <c r="F25" s="39" t="s">
        <v>154</v>
      </c>
      <c r="G25" s="44">
        <f>Fin_Analysis!I88</f>
        <v>1.4587809253857806</v>
      </c>
    </row>
    <row r="26" spans="1:8" ht="15.75" customHeight="1" x14ac:dyDescent="0.35">
      <c r="B26" s="45" t="s">
        <v>244</v>
      </c>
      <c r="C26" s="44">
        <f>Fin_Analysis!I80+Fin_Analysis!I82</f>
        <v>7.4919906024661059E-2</v>
      </c>
      <c r="F26" s="46" t="s">
        <v>169</v>
      </c>
      <c r="G26" s="47">
        <f>Fin_Analysis!H88*Exchange_Rate/G3</f>
        <v>7.8947368421052627E-2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8" t="s">
        <v>226</v>
      </c>
      <c r="H28" s="318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4.0129548758358693</v>
      </c>
      <c r="D29" s="54">
        <f>G29*(1+G20)</f>
        <v>7.4362155819730624</v>
      </c>
      <c r="E29" s="3"/>
      <c r="F29" s="55">
        <f>IF(Fin_Analysis!C108="Profit",Fin_Analysis!F100,IF(Fin_Analysis!C108="Dividend",Fin_Analysis!F103,Fin_Analysis!F106))</f>
        <v>4.7211233833363169</v>
      </c>
      <c r="G29" s="319">
        <f>IF(Fin_Analysis!C108="Profit",Fin_Analysis!I100,IF(Fin_Analysis!C108="Dividend",Fin_Analysis!I103,Fin_Analysis!I106))</f>
        <v>6.4662744191070116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unclear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unclear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unclear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5020122.666666667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26798520</v>
      </c>
      <c r="D6" s="147">
        <f>IF(Inputs!D25="","",Inputs!D25)</f>
        <v>25745990</v>
      </c>
      <c r="E6" s="147">
        <f>IF(Inputs!E25="","",Inputs!E25)</f>
        <v>30459120</v>
      </c>
      <c r="F6" s="147">
        <f>IF(Inputs!F25="","",Inputs!F25)</f>
        <v>18615879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4.0881317828523889E-2</v>
      </c>
      <c r="D7" s="148">
        <f t="shared" si="1"/>
        <v>-0.1547362497669007</v>
      </c>
      <c r="E7" s="148">
        <f t="shared" si="1"/>
        <v>0.63619026531059863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18186761</v>
      </c>
      <c r="D8" s="149">
        <f>IF(Inputs!D26="","",Inputs!D26)</f>
        <v>17059615</v>
      </c>
      <c r="E8" s="149">
        <f>IF(Inputs!E26="","",Inputs!E26)</f>
        <v>14681992</v>
      </c>
      <c r="F8" s="149">
        <f>IF(Inputs!F26="","",Inputs!F26)</f>
        <v>10844444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8611759</v>
      </c>
      <c r="D9" s="279">
        <f t="shared" si="2"/>
        <v>8686375</v>
      </c>
      <c r="E9" s="279">
        <f t="shared" si="2"/>
        <v>15777128</v>
      </c>
      <c r="F9" s="279">
        <f t="shared" si="2"/>
        <v>7771435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3573515</v>
      </c>
      <c r="D10" s="149">
        <f>IF(Inputs!D27="","",Inputs!D27)</f>
        <v>4198444</v>
      </c>
      <c r="E10" s="149">
        <f>IF(Inputs!E27="","",Inputs!E27)</f>
        <v>4008221</v>
      </c>
      <c r="F10" s="149">
        <f>IF(Inputs!F27="","",Inputs!F27)</f>
        <v>2747516</v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18121.333333333332</v>
      </c>
      <c r="D12" s="149">
        <f>IF(Inputs!D30="","",MAX(Inputs!D30,0)/(1-Fin_Analysis!$I$84))</f>
        <v>22733.333333333332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0.18732835494895492</v>
      </c>
      <c r="D13" s="300">
        <f t="shared" si="3"/>
        <v>0.17343274298897293</v>
      </c>
      <c r="E13" s="300">
        <f t="shared" si="3"/>
        <v>0.38638368409855572</v>
      </c>
      <c r="F13" s="300">
        <f t="shared" si="3"/>
        <v>0.26987277903987233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5020122.666666667</v>
      </c>
      <c r="D14" s="302">
        <f t="shared" ref="D14:M14" si="4">IF(D6="","",D9-D10-MAX(D11,0)-MAX(D12,0))</f>
        <v>4465197.666666667</v>
      </c>
      <c r="E14" s="302">
        <f t="shared" si="4"/>
        <v>11768907</v>
      </c>
      <c r="F14" s="302">
        <f t="shared" si="4"/>
        <v>5023919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0.1242778128597965</v>
      </c>
      <c r="D15" s="304">
        <f t="shared" ref="D15:M15" si="5">IF(E14="","",IF(ABS(D14+E14)=ABS(D14)+ABS(E14),IF(D14&lt;0,-1,1)*(D14-E14)/E14,"Turn"))</f>
        <v>-0.62059368243230517</v>
      </c>
      <c r="E15" s="304">
        <f t="shared" si="5"/>
        <v>1.3425749897639672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>
        <f>IF(Inputs!C31="","",Inputs!C31)</f>
        <v>1203787</v>
      </c>
      <c r="D16" s="149">
        <f>IF(Inputs!D31="","",Inputs!D31)</f>
        <v>-1674903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503407</v>
      </c>
      <c r="D17" s="149">
        <f>IF(Inputs!D29="","",Inputs!D29)</f>
        <v>371540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>
        <f t="shared" ref="C18:M18" si="6">IF(OR(C6="",C19=""),"",C19/C6)</f>
        <v>5.6418115627280913E-2</v>
      </c>
      <c r="D18" s="233">
        <f t="shared" si="6"/>
        <v>5.8071994900953508E-2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>
        <f>IF(Inputs!C32="","",Inputs!C32)</f>
        <v>1511922</v>
      </c>
      <c r="D19" s="149">
        <f>IF(Inputs!D32="","",Inputs!D32)</f>
        <v>1495121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0.13112291275786872</v>
      </c>
      <c r="D20" s="233">
        <f t="shared" si="7"/>
        <v>0.10193432064566171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>
        <f>IF(Inputs!C33="","",Inputs!C33)</f>
        <v>3513900</v>
      </c>
      <c r="D21" s="149">
        <f>IF(Inputs!D33="","",Inputs!D33)</f>
        <v>2624400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1310950.666666667</v>
      </c>
      <c r="D22" s="283">
        <f t="shared" ref="D22:M22" si="8">IF(D6="","",D14-MAX(D16,0)-MAX(D17,0)-ABS(MAX(D21,0)-MAX(D19,0)))</f>
        <v>2964378.666666667</v>
      </c>
      <c r="E22" s="283">
        <f t="shared" si="8"/>
        <v>11768907</v>
      </c>
      <c r="F22" s="283">
        <f t="shared" si="8"/>
        <v>5023919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3.6689078352088109E-2</v>
      </c>
      <c r="D23" s="148">
        <f t="shared" si="9"/>
        <v>8.6354574052114524E-2</v>
      </c>
      <c r="E23" s="148">
        <f t="shared" si="9"/>
        <v>0.28978776307391679</v>
      </c>
      <c r="F23" s="148">
        <f t="shared" si="9"/>
        <v>0.20240458427990426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983213.00000000023</v>
      </c>
      <c r="D24" s="282">
        <f>IF(D6="","",D22*(1-Fin_Analysis!$I$84))</f>
        <v>2223284</v>
      </c>
      <c r="E24" s="282">
        <f>IF(E6="","",E22*(1-Fin_Analysis!$I$84))</f>
        <v>8826680.25</v>
      </c>
      <c r="F24" s="282">
        <f>IF(F6="","",F22*(1-Fin_Analysis!$I$84))</f>
        <v>3767939.25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-0.55776544966814845</v>
      </c>
      <c r="D25" s="152">
        <f t="shared" ref="D25:M25" si="10">IF(E24="","",IF(ABS(D24+E24)=ABS(D24)+ABS(E24),IF(D24&lt;0,-1,1)*(D24-E24)/E24,"Turn"))</f>
        <v>-0.74811775922210388</v>
      </c>
      <c r="E25" s="152">
        <f t="shared" si="10"/>
        <v>1.3425749897639672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0.67864796264868354</v>
      </c>
      <c r="D40" s="156">
        <f t="shared" si="34"/>
        <v>0.66261250781189618</v>
      </c>
      <c r="E40" s="156">
        <f t="shared" si="34"/>
        <v>0.48202285555196606</v>
      </c>
      <c r="F40" s="156">
        <f t="shared" si="34"/>
        <v>0.58253730592039199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0.13334747590538581</v>
      </c>
      <c r="D41" s="151">
        <f t="shared" si="35"/>
        <v>0.16307176379700294</v>
      </c>
      <c r="E41" s="151">
        <f t="shared" si="35"/>
        <v>0.13159346034947825</v>
      </c>
      <c r="F41" s="151">
        <f t="shared" si="35"/>
        <v>0.1475899150397357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4.491990602466106E-2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1.8784880657588553E-2</v>
      </c>
      <c r="D43" s="151">
        <f t="shared" si="37"/>
        <v>1.4430985174778675E-2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6.7620649697570359E-4</v>
      </c>
      <c r="D44" s="151">
        <f t="shared" si="38"/>
        <v>8.8298540212799473E-4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7.4704797130587808E-2</v>
      </c>
      <c r="D45" s="151">
        <f t="shared" si="39"/>
        <v>4.3862325744708205E-2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4.8918771136117478E-2</v>
      </c>
      <c r="D46" s="289">
        <f t="shared" si="40"/>
        <v>0.11513943206948604</v>
      </c>
      <c r="E46" s="289">
        <f t="shared" si="40"/>
        <v>0.38638368409855572</v>
      </c>
      <c r="F46" s="289">
        <f t="shared" si="40"/>
        <v>0.26987277903987233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>
        <f t="shared" ref="C51:M51" si="44">IF(D6="","",C16/(C6-D6))</f>
        <v>1.14370801782372</v>
      </c>
      <c r="D51" s="151">
        <f t="shared" si="44"/>
        <v>0.35536957393494345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0.38400148289333025</v>
      </c>
      <c r="D55" s="151">
        <f t="shared" si="47"/>
        <v>0.12533486500150226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0</v>
      </c>
      <c r="K3" s="75"/>
    </row>
    <row r="4" spans="1:11" ht="15" customHeight="1" x14ac:dyDescent="0.35">
      <c r="B4" s="9" t="s">
        <v>22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0</v>
      </c>
      <c r="J48" s="193"/>
    </row>
    <row r="49" spans="2:11" ht="15" customHeight="1" thickTop="1" x14ac:dyDescent="0.35">
      <c r="B49" s="9" t="s">
        <v>14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79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17">
        <f>Inputs!C84</f>
        <v>0</v>
      </c>
      <c r="E57" s="316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0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281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0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0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26798520</v>
      </c>
      <c r="D74" s="103"/>
      <c r="E74" s="262">
        <f>Inputs!E91</f>
        <v>26798520</v>
      </c>
      <c r="F74" s="103"/>
      <c r="H74" s="262">
        <f>Inputs!F91</f>
        <v>26798520</v>
      </c>
      <c r="I74" s="103"/>
      <c r="K74" s="75"/>
    </row>
    <row r="75" spans="1:11" ht="15" customHeight="1" x14ac:dyDescent="0.35">
      <c r="B75" s="105" t="s">
        <v>98</v>
      </c>
      <c r="C75" s="102">
        <f>Data!C8</f>
        <v>18186761</v>
      </c>
      <c r="D75" s="106">
        <f>C75/$C$74</f>
        <v>0.67864796264868354</v>
      </c>
      <c r="E75" s="262">
        <f>Inputs!E92</f>
        <v>18186761</v>
      </c>
      <c r="F75" s="217">
        <f>E75/E74</f>
        <v>0.67864796264868354</v>
      </c>
      <c r="H75" s="262">
        <f>Inputs!F92</f>
        <v>18186761</v>
      </c>
      <c r="I75" s="217">
        <f>H75/$H$74</f>
        <v>0.67864796264868354</v>
      </c>
      <c r="K75" s="75"/>
    </row>
    <row r="76" spans="1:11" ht="15" customHeight="1" x14ac:dyDescent="0.35">
      <c r="B76" s="12" t="s">
        <v>88</v>
      </c>
      <c r="C76" s="150">
        <f>C74-C75</f>
        <v>8611759</v>
      </c>
      <c r="D76" s="218"/>
      <c r="E76" s="219">
        <f>E74-E75</f>
        <v>8611759</v>
      </c>
      <c r="F76" s="218"/>
      <c r="H76" s="219">
        <f>H74-H75</f>
        <v>8611759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3573515</v>
      </c>
      <c r="D77" s="106">
        <f>C77/$C$74</f>
        <v>0.13334747590538581</v>
      </c>
      <c r="E77" s="262">
        <f>Inputs!E93</f>
        <v>3573515</v>
      </c>
      <c r="F77" s="217">
        <f>E77/E74</f>
        <v>0.13334747590538581</v>
      </c>
      <c r="H77" s="262">
        <f>Inputs!F93</f>
        <v>3573515</v>
      </c>
      <c r="I77" s="217">
        <f>H77/$H$74</f>
        <v>0.13334747590538581</v>
      </c>
      <c r="K77" s="75"/>
    </row>
    <row r="78" spans="1:11" ht="15" customHeight="1" x14ac:dyDescent="0.35">
      <c r="B78" s="98" t="s">
        <v>153</v>
      </c>
      <c r="C78" s="102">
        <f>MAX(Data!C12,0)</f>
        <v>18121.333333333332</v>
      </c>
      <c r="D78" s="106">
        <f>C78/$C$74</f>
        <v>6.7620649697570359E-4</v>
      </c>
      <c r="E78" s="220">
        <f>E74*F78</f>
        <v>18121.333333333332</v>
      </c>
      <c r="F78" s="217">
        <f>I78</f>
        <v>6.7620649697570359E-4</v>
      </c>
      <c r="H78" s="262">
        <f>Inputs!F97</f>
        <v>18121.333333333332</v>
      </c>
      <c r="I78" s="217">
        <f>H78/$H$74</f>
        <v>6.7620649697570359E-4</v>
      </c>
      <c r="K78" s="75"/>
    </row>
    <row r="79" spans="1:11" ht="15" customHeight="1" x14ac:dyDescent="0.35">
      <c r="B79" s="221" t="s">
        <v>206</v>
      </c>
      <c r="C79" s="222">
        <f>C76-C77-C78</f>
        <v>5020122.666666667</v>
      </c>
      <c r="D79" s="223">
        <f>C79/C74</f>
        <v>0.18732835494895492</v>
      </c>
      <c r="E79" s="224">
        <f>E76-E77-E78</f>
        <v>5020122.666666667</v>
      </c>
      <c r="F79" s="223">
        <f>E79/E74</f>
        <v>0.18732835494895492</v>
      </c>
      <c r="G79" s="225"/>
      <c r="H79" s="224">
        <f>H76-H77-H78</f>
        <v>5020122.666666667</v>
      </c>
      <c r="I79" s="223">
        <f>H79/H74</f>
        <v>0.18732835494895492</v>
      </c>
      <c r="K79" s="75"/>
    </row>
    <row r="80" spans="1:11" ht="15" customHeight="1" x14ac:dyDescent="0.35">
      <c r="B80" s="18" t="s">
        <v>102</v>
      </c>
      <c r="C80" s="102">
        <f>MAX(Data!C16,0)</f>
        <v>1203787</v>
      </c>
      <c r="D80" s="106">
        <f>C80/$C$74</f>
        <v>4.491990602466106E-2</v>
      </c>
      <c r="E80" s="220">
        <f>E74*F80</f>
        <v>1203787</v>
      </c>
      <c r="F80" s="217">
        <f>I80</f>
        <v>4.491990602466106E-2</v>
      </c>
      <c r="H80" s="262">
        <f>Inputs!F96</f>
        <v>1203787</v>
      </c>
      <c r="I80" s="217">
        <f>H80/$H$74</f>
        <v>4.491990602466106E-2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503407</v>
      </c>
      <c r="D81" s="106">
        <f>C81/$C$74</f>
        <v>1.8784880657588553E-2</v>
      </c>
      <c r="E81" s="220">
        <f>E74*F81</f>
        <v>503407</v>
      </c>
      <c r="F81" s="217">
        <f>I81</f>
        <v>1.8784880657588553E-2</v>
      </c>
      <c r="H81" s="262">
        <f>Inputs!F94</f>
        <v>503407</v>
      </c>
      <c r="I81" s="217">
        <f>H81/$H$74</f>
        <v>1.8784880657588553E-2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2001978</v>
      </c>
      <c r="D82" s="106">
        <f>C82/$C$74</f>
        <v>7.4704797130587808E-2</v>
      </c>
      <c r="E82" s="262">
        <f>Inputs!E95</f>
        <v>1071940.8</v>
      </c>
      <c r="F82" s="217">
        <f>E82/E74</f>
        <v>0.04</v>
      </c>
      <c r="H82" s="262">
        <f>Inputs!F95</f>
        <v>803955.6</v>
      </c>
      <c r="I82" s="217">
        <f>H82/$H$74</f>
        <v>0.03</v>
      </c>
      <c r="K82" s="75"/>
    </row>
    <row r="83" spans="1:11" ht="15" customHeight="1" thickBot="1" x14ac:dyDescent="0.4">
      <c r="B83" s="227" t="s">
        <v>116</v>
      </c>
      <c r="C83" s="228">
        <f>C79-C81-C82-C80</f>
        <v>1310950.666666667</v>
      </c>
      <c r="D83" s="229">
        <f>C83/$C$74</f>
        <v>4.8918771136117478E-2</v>
      </c>
      <c r="E83" s="230">
        <f>E79-E81-E82-E80</f>
        <v>2240987.8666666672</v>
      </c>
      <c r="F83" s="229">
        <f>E83/E74</f>
        <v>8.3623568266705292E-2</v>
      </c>
      <c r="H83" s="230">
        <f>H79-H81-H82-H80</f>
        <v>2508973.0666666669</v>
      </c>
      <c r="I83" s="229">
        <f>H83/$H$74</f>
        <v>9.3623568266705287E-2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983213.00000000023</v>
      </c>
      <c r="D85" s="223">
        <f>C85/$C$74</f>
        <v>3.6689078352088109E-2</v>
      </c>
      <c r="E85" s="235">
        <f>E83*(1-F84)</f>
        <v>1680740.9000000004</v>
      </c>
      <c r="F85" s="223">
        <f>E85/E74</f>
        <v>6.2717676200028966E-2</v>
      </c>
      <c r="G85" s="225"/>
      <c r="H85" s="235">
        <f>H83*(1-I84)</f>
        <v>1881729.8000000003</v>
      </c>
      <c r="I85" s="223">
        <f>H85/$H$74</f>
        <v>7.0217676200028972E-2</v>
      </c>
      <c r="K85" s="75"/>
    </row>
    <row r="86" spans="1:11" ht="15" customHeight="1" x14ac:dyDescent="0.35">
      <c r="B86" s="3" t="s">
        <v>146</v>
      </c>
      <c r="C86" s="236">
        <f>C85*Data!C4/Common_Shares</f>
        <v>0.22565284996048629</v>
      </c>
      <c r="D86" s="103"/>
      <c r="E86" s="237">
        <f>E85*Data!C4/Common_Shares</f>
        <v>0.38573938112103145</v>
      </c>
      <c r="F86" s="103"/>
      <c r="H86" s="237">
        <f>H85*Data!C4/Common_Shares</f>
        <v>0.43186745112765573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2.8277299493795274E-2</v>
      </c>
      <c r="D87" s="103"/>
      <c r="E87" s="239">
        <f>E86*Exchange_Rate/Dashboard!G3</f>
        <v>4.8338268310906193E-2</v>
      </c>
      <c r="F87" s="103"/>
      <c r="H87" s="239">
        <f>H86*Exchange_Rate/Dashboard!G3</f>
        <v>5.4118728211485681E-2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0.63</v>
      </c>
      <c r="D88" s="241">
        <f>C88/C86</f>
        <v>2.791899150001067</v>
      </c>
      <c r="E88" s="261">
        <f>Inputs!E98</f>
        <v>0.63</v>
      </c>
      <c r="F88" s="241">
        <f>E88/E86</f>
        <v>1.6332270720430491</v>
      </c>
      <c r="H88" s="261">
        <f>Inputs!F98</f>
        <v>0.63</v>
      </c>
      <c r="I88" s="241">
        <f>H88/H86</f>
        <v>1.4587809253857806</v>
      </c>
      <c r="K88" s="75"/>
    </row>
    <row r="89" spans="1:11" ht="15" customHeight="1" x14ac:dyDescent="0.35">
      <c r="B89" s="3" t="s">
        <v>196</v>
      </c>
      <c r="C89" s="238">
        <f>C88*Exchange_Rate/Dashboard!G3</f>
        <v>7.8947368421052627E-2</v>
      </c>
      <c r="D89" s="103"/>
      <c r="E89" s="238">
        <f>E88*Exchange_Rate/Dashboard!G3</f>
        <v>7.8947368421052627E-2</v>
      </c>
      <c r="F89" s="103"/>
      <c r="H89" s="238">
        <f>H88*Exchange_Rate/Dashboard!G3</f>
        <v>7.8947368421052627E-2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CN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185</v>
      </c>
      <c r="F93" s="243">
        <f>FV(E87,D93,0,-(E86/(C93-D94)))*Exchange_Rate</f>
        <v>7.7009510455792185</v>
      </c>
      <c r="H93" s="3" t="s">
        <v>185</v>
      </c>
      <c r="I93" s="243">
        <f>FV(H87,D93,0,-(H86/(C93-D94)))*Exchange_Rate</f>
        <v>8.813597563373504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14.111923555447104</v>
      </c>
      <c r="H94" s="3" t="s">
        <v>186</v>
      </c>
      <c r="I94" s="243">
        <f>FV(H89,D93,0,-(H88/(C93-D94)))*Exchange_Rate</f>
        <v>14.111923555447104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21956779.682203364</v>
      </c>
      <c r="D97" s="250"/>
      <c r="E97" s="251">
        <f>PV(C94,D93,0,-F93)</f>
        <v>4.4030437544629821</v>
      </c>
      <c r="F97" s="250"/>
      <c r="H97" s="251">
        <f>PV(C94,D93,0,-I93)</f>
        <v>5.0392030122096516</v>
      </c>
      <c r="I97" s="251">
        <f>PV(C93,D93,0,-I93)</f>
        <v>6.4662744191070116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4.0129548758358693</v>
      </c>
      <c r="E100" s="257">
        <f>MAX(E97+H98+E99,0)</f>
        <v>4.4030437544629821</v>
      </c>
      <c r="F100" s="257">
        <f>(E100+H100)/2</f>
        <v>4.7211233833363169</v>
      </c>
      <c r="H100" s="257">
        <f>MAX(H97+H98+H99,0)</f>
        <v>5.0392030122096516</v>
      </c>
      <c r="I100" s="257">
        <f>MAX(I97+H98+H99,0)</f>
        <v>6.4662744191070116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6.858257380229511</v>
      </c>
      <c r="E103" s="251">
        <f>PV(C94,D93,0,-F94)</f>
        <v>8.0685380943876606</v>
      </c>
      <c r="F103" s="257">
        <f>(E103+H103)/2</f>
        <v>8.0685380943876606</v>
      </c>
      <c r="H103" s="251">
        <f>PV(C94,D93,0,-I94)</f>
        <v>8.0685380943876606</v>
      </c>
      <c r="I103" s="257">
        <f>PV(C93,D93,0,-I94)</f>
        <v>10.353498629231003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5.4356061280326902</v>
      </c>
      <c r="E106" s="251">
        <f>(E100+E103)/2</f>
        <v>6.2357909244253218</v>
      </c>
      <c r="F106" s="257">
        <f>(F100+F103)/2</f>
        <v>6.3948307388619892</v>
      </c>
      <c r="H106" s="251">
        <f>(H100+H103)/2</f>
        <v>6.5538705532986565</v>
      </c>
      <c r="I106" s="251">
        <f>(I100+I103)/2</f>
        <v>8.4098865241690071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