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ABEFDBA-B00A-4795-AFE2-C263570620FD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37" i="4"/>
  <c r="C37" i="4"/>
  <c r="G2" i="1"/>
  <c r="F96" i="4" l="1"/>
  <c r="E92" i="4"/>
  <c r="F97" i="4"/>
  <c r="D56" i="4"/>
  <c r="D93" i="3"/>
  <c r="B11" i="5" l="1"/>
  <c r="B47" i="4" l="1"/>
  <c r="C49" i="3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C56" i="2" s="1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<sst xmlns="http://schemas.openxmlformats.org/spreadsheetml/2006/main" count="404" uniqueCount="288">
  <si>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</si>
  <si>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</si>
  <si>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</si>
  <si>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</si>
  <si>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</si>
  <si>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</si>
  <si>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</si>
  <si>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</si>
  <si>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</si>
  <si>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</si>
  <si>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</si>
  <si>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</si>
  <si>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</si>
  <si>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</si>
  <si>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</si>
  <si>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</si>
  <si>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</si>
  <si>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</si>
  <si>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</si>
  <si>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</si>
  <si>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</si>
  <si>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</si>
  <si>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</si>
  <si>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</si>
  <si>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</si>
  <si>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</si>
  <si>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</si>
  <si>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</si>
  <si>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</si>
  <si>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</si>
  <si>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</si>
  <si>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</si>
  <si>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</si>
  <si>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</si>
  <si>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</si>
  <si>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</si>
  <si>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</si>
  <si>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</si>
  <si>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</si>
  <si>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</si>
  <si>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</si>
  <si>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</si>
  <si>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</si>
  <si>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</si>
  <si>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</si>
  <si>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</si>
  <si>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</si>
  <si>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</si>
  <si>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</si>
  <si>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</si>
  <si>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</si>
  <si>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</si>
  <si>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</si>
  <si>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</si>
  <si>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</si>
  <si>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</si>
  <si>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</si>
  <si>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</si>
  <si>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</si>
  <si>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</si>
  <si>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</si>
  <si>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</si>
  <si>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</si>
  <si>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</si>
  <si>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</si>
  <si>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</si>
  <si>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</si>
  <si>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</si>
  <si>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</si>
  <si>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</si>
  <si>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</si>
  <si>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</si>
  <si>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</si>
  <si>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</si>
  <si>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</si>
  <si>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</si>
  <si>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</si>
  <si>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</si>
  <si>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</si>
  <si>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</si>
  <si>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</si>
  <si>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</si>
  <si>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</si>
  <si>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</si>
  <si>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</si>
  <si>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</si>
  <si>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</si>
  <si>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</si>
  <si>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</si>
  <si>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</si>
  <si>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</si>
  <si>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</si>
  <si>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</si>
  <si>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</si>
  <si>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</si>
  <si>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</si>
  <si>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</si>
  <si>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</si>
  <si>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</si>
  <si>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</si>
  <si>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</si>
  <si>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</si>
  <si>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</si>
  <si>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</si>
  <si>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</si>
  <si>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</si>
  <si>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</si>
  <si>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</si>
  <si>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</si>
  <si>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</si>
  <si>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</si>
  <si>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</si>
  <si>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</si>
  <si>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</si>
  <si>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</si>
  <si>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</si>
  <si>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</si>
  <si>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</si>
  <si>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</si>
  <si>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</si>
  <si>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</si>
  <si>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</si>
  <si>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</si>
  <si>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</si>
  <si>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</si>
  <si>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</si>
  <si>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</si>
  <si>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</si>
  <si>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</si>
  <si>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</si>
  <si>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</si>
  <si>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</si>
  <si>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</si>
  <si>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</si>
  <si>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</si>
  <si>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</si>
  <si>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</si>
  <si>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</si>
  <si>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</si>
  <si>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</si>
  <si>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</si>
  <si>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</si>
  <si>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</si>
  <si>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</si>
  <si>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</si>
  <si>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</si>
  <si>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</si>
  <si>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</si>
  <si>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</si>
  <si>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</si>
  <si>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</si>
  <si>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</si>
  <si>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</si>
  <si>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</si>
  <si>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</si>
  <si>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</si>
  <si>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</si>
  <si>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</si>
  <si>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</si>
  <si>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</si>
  <si>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</si>
  <si>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</si>
  <si>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</si>
  <si>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</si>
  <si>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</si>
  <si>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</si>
  <si>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</si>
  <si>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</si>
  <si>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</si>
  <si>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</si>
  <si>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</si>
  <si>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</si>
  <si>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</si>
  <si>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</si>
  <si>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</si>
  <si>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</si>
  <si>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</si>
  <si>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</si>
  <si>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</si>
  <si>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</si>
  <si>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</si>
  <si>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</si>
  <si>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</si>
  <si>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</si>
  <si>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</si>
  <si>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</si>
  <si>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</si>
  <si>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</si>
  <si>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</si>
  <si>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</si>
  <si>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</si>
  <si>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</si>
  <si>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</si>
  <si>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</si>
  <si>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</si>
  <si>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</si>
  <si>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</si>
  <si>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</si>
  <si>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</si>
  <si>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</si>
  <si>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</si>
  <si>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</si>
  <si>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</si>
  <si>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</si>
  <si>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</si>
  <si>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</si>
  <si>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</si>
  <si>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</si>
  <si>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</si>
  <si>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</si>
  <si>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</si>
  <si>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</si>
  <si>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</si>
  <si>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</si>
  <si>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</si>
  <si>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</si>
  <si>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</si>
  <si>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</si>
  <si>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</si>
  <si>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</si>
  <si>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</si>
  <si>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</si>
  <si>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</si>
  <si>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</si>
  <si>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</si>
  <si>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</si>
  <si>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</si>
  <si>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</si>
  <si>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</si>
  <si>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</si>
  <si>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</si>
  <si>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</si>
  <si>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</si>
  <si>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</si>
  <si>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</si>
  <si>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</si>
  <si>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</si>
  <si>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</si>
  <si>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</si>
  <si>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</si>
  <si>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</si>
  <si>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</si>
  <si>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</si>
  <si>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</si>
  <si>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</si>
  <si>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</si>
  <si>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</si>
  <si>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</si>
  <si>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</si>
  <si>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</si>
  <si>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</si>
  <si>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</si>
  <si>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</si>
  <si>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</si>
  <si>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</si>
  <si>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</si>
  <si>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</si>
  <si>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</si>
  <si>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</si>
  <si>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</si>
  <si>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</si>
  <si>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</si>
  <si>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</si>
  <si>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</si>
  <si>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</si>
  <si>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</si>
  <si>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</si>
  <si>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</si>
  <si>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</si>
  <si>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</si>
  <si>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</si>
  <si>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</si>
  <si>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</si>
  <si>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</si>
  <si>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</si>
  <si>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</si>
  <si>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</si>
  <si>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</si>
  <si>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</si>
  <si>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</si>
  <si>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PlaceHolder_5</t>
    <phoneticPr fontId="3" type="noConversion"/>
  </si>
  <si>
    <t>0887.HK</t>
  </si>
  <si>
    <t>英皇鐘錶珠寶</t>
  </si>
  <si>
    <t>Strongly agree</t>
  </si>
  <si>
    <t>agree</t>
  </si>
  <si>
    <t>Consumer Monopoly</t>
  </si>
  <si>
    <t xml:space="preserve">6,922	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</si>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</sst>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281</v>
      </c>
      <c r="D4" s="66"/>
    </row>
    <row r="5" spans="1:5" x14ac:dyDescent="0.35">
      <c r="B5" s="46" t="s">
        <v>171</v>
      </c>
      <c r="C5" s="67" t="s">
        <v>282</v>
      </c>
    </row>
    <row r="6" spans="1:5" x14ac:dyDescent="0.35">
      <c r="B6" s="46" t="s">
        <v>272</v>
      </c>
      <c r="C6" s="68">
        <v>45593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64</v>
      </c>
    </row>
    <row r="9" spans="1:5" x14ac:dyDescent="0.35">
      <c r="B9" s="39" t="s">
        <v>192</v>
      </c>
      <c r="C9" s="124" t="s">
        <v>278</v>
      </c>
    </row>
    <row r="10" spans="1:5" x14ac:dyDescent="0.35">
      <c r="B10" s="39" t="s">
        <v>193</v>
      </c>
      <c r="C10" s="70">
        <v>6779458129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283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284</v>
      </c>
      <c r="D19" s="75"/>
    </row>
    <row r="20" spans="2:13" x14ac:dyDescent="0.35">
      <c r="B20" s="57" t="s">
        <v>202</v>
      </c>
      <c r="C20" s="126" t="s">
        <v>284</v>
      </c>
      <c r="D20" s="75"/>
    </row>
    <row r="21" spans="2:13" x14ac:dyDescent="0.35">
      <c r="B21" s="2" t="s">
        <v>205</v>
      </c>
      <c r="C21" s="126" t="s">
        <v>283</v>
      </c>
      <c r="D21" s="75"/>
    </row>
    <row r="22" spans="2:13" ht="69.75" x14ac:dyDescent="0.35">
      <c r="B22" s="59" t="s">
        <v>204</v>
      </c>
      <c r="C22" s="127" t="s">
        <v>285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4823223</v>
      </c>
      <c r="D25" s="80">
        <v>3684261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3372942</v>
      </c>
      <c r="D26" s="82">
        <v>2506999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1070762</v>
      </c>
      <c r="D27" s="82">
        <v>881682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10228</v>
      </c>
      <c r="D29" s="82">
        <v>6896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0</v>
      </c>
      <c r="D30" s="82">
        <v>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f>525545+229394</f>
        <v>754939</v>
      </c>
      <c r="D37" s="82">
        <f>433472+103298</f>
        <v>536770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>
        <v>6831</v>
      </c>
      <c r="D38" s="82" t="s">
        <v>286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5186911</v>
      </c>
      <c r="D41" s="82">
        <v>4845059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0</v>
      </c>
      <c r="D42" s="82">
        <v>0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0.0065+0.0056</f>
        <v>1.21E-2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7.2023809523809518E-2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220</v>
      </c>
      <c r="C87" s="112" t="s">
        <v>287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4823223</v>
      </c>
      <c r="D91" s="103"/>
      <c r="E91" s="104">
        <f>C91</f>
        <v>4823223</v>
      </c>
      <c r="F91" s="104">
        <f>C91</f>
        <v>4823223</v>
      </c>
    </row>
    <row r="92" spans="2:8" x14ac:dyDescent="0.35">
      <c r="B92" s="105" t="s">
        <v>98</v>
      </c>
      <c r="C92" s="102">
        <f>C26</f>
        <v>3372942</v>
      </c>
      <c r="D92" s="106">
        <f>C92/C91</f>
        <v>0.69931288683936033</v>
      </c>
      <c r="E92" s="107">
        <f>E91*D92</f>
        <v>3372942</v>
      </c>
      <c r="F92" s="107">
        <f>F91*D92</f>
        <v>3372942</v>
      </c>
    </row>
    <row r="93" spans="2:8" x14ac:dyDescent="0.35">
      <c r="B93" s="105" t="s">
        <v>219</v>
      </c>
      <c r="C93" s="102">
        <f>C27+C28</f>
        <v>1070762</v>
      </c>
      <c r="D93" s="106">
        <f>C93/C91</f>
        <v>0.22200134640260258</v>
      </c>
      <c r="E93" s="107">
        <f>E91*D93</f>
        <v>1070762</v>
      </c>
      <c r="F93" s="107">
        <f>F91*D93</f>
        <v>1070762</v>
      </c>
    </row>
    <row r="94" spans="2:8" x14ac:dyDescent="0.35">
      <c r="B94" s="105" t="s">
        <v>225</v>
      </c>
      <c r="C94" s="102">
        <f>C29</f>
        <v>10228</v>
      </c>
      <c r="D94" s="106">
        <f>C94/C91</f>
        <v>2.1205737325435711E-3</v>
      </c>
      <c r="E94" s="108"/>
      <c r="F94" s="107">
        <f>F91*D94</f>
        <v>10228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183</v>
      </c>
      <c r="C98" s="109">
        <f>C44</f>
        <v>1.21E-2</v>
      </c>
      <c r="D98" s="110"/>
      <c r="E98" s="111">
        <f>F98</f>
        <v>1.21E-2</v>
      </c>
      <c r="F98" s="111">
        <f>C98</f>
        <v>1.21E-2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0887.HK : 英皇鐘錶珠寶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170</v>
      </c>
      <c r="C3" s="311" t="str">
        <f>Inputs!C4</f>
        <v>0887.HK</v>
      </c>
      <c r="D3" s="312"/>
      <c r="E3" s="3"/>
      <c r="F3" s="9" t="s">
        <v>1</v>
      </c>
      <c r="G3" s="10">
        <v>0.16800000000000001</v>
      </c>
      <c r="H3" s="11" t="s">
        <v>260</v>
      </c>
    </row>
    <row r="4" spans="1:10" ht="15.75" customHeight="1" x14ac:dyDescent="0.35">
      <c r="B4" s="12" t="s">
        <v>171</v>
      </c>
      <c r="C4" s="313" t="str">
        <f>Inputs!C5</f>
        <v>英皇鐘錶珠寶</v>
      </c>
      <c r="D4" s="314"/>
      <c r="E4" s="3"/>
      <c r="F4" s="9" t="s">
        <v>3</v>
      </c>
      <c r="G4" s="317">
        <f>Inputs!C10</f>
        <v>6779458129</v>
      </c>
      <c r="H4" s="317"/>
      <c r="I4" s="14"/>
    </row>
    <row r="5" spans="1:10" ht="15.75" customHeight="1" x14ac:dyDescent="0.35">
      <c r="B5" s="9" t="s">
        <v>148</v>
      </c>
      <c r="C5" s="315">
        <f>Inputs!C6</f>
        <v>45593</v>
      </c>
      <c r="D5" s="316"/>
      <c r="E5" s="16"/>
      <c r="F5" s="12" t="s">
        <v>92</v>
      </c>
      <c r="G5" s="320">
        <f>G3*G4/1000000</f>
        <v>1138.9489656720002</v>
      </c>
      <c r="H5" s="320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21" t="str">
        <f>Inputs!C11</f>
        <v>HKD</v>
      </c>
      <c r="H6" s="321"/>
      <c r="I6" s="17"/>
    </row>
    <row r="7" spans="1:10" ht="15.75" customHeight="1" x14ac:dyDescent="0.35">
      <c r="B7" s="8" t="s">
        <v>168</v>
      </c>
      <c r="C7" s="128" t="str">
        <f>Inputs!C8</f>
        <v>N</v>
      </c>
      <c r="D7" s="128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7.3168596877794909E-2</v>
      </c>
      <c r="F20" s="3" t="s">
        <v>187</v>
      </c>
      <c r="G20" s="121">
        <v>0.15</v>
      </c>
      <c r="H20" s="307">
        <v>4</v>
      </c>
    </row>
    <row r="21" spans="1:8" ht="15.75" customHeight="1" thickTop="1" x14ac:dyDescent="0.35">
      <c r="B21" s="32" t="s">
        <v>241</v>
      </c>
      <c r="C21" s="33">
        <f>Data!C13</f>
        <v>7.868576675803711E-2</v>
      </c>
      <c r="F21" s="3"/>
      <c r="G21" s="34"/>
    </row>
    <row r="22" spans="1:8" ht="15.75" customHeight="1" x14ac:dyDescent="0.35">
      <c r="B22" s="35" t="s">
        <v>248</v>
      </c>
      <c r="C22" s="36">
        <f>Data!C48</f>
        <v>0.81173759014448366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1.1455469353532381</v>
      </c>
      <c r="F23" s="39" t="s">
        <v>166</v>
      </c>
      <c r="G23" s="40">
        <f>G3/(Data!C34*Data!C4/Common_Shares*Exchange_Rate)</f>
        <v>0.21958135886117963</v>
      </c>
    </row>
    <row r="24" spans="1:8" ht="15.75" customHeight="1" x14ac:dyDescent="0.35">
      <c r="B24" s="41" t="s">
        <v>242</v>
      </c>
      <c r="C24" s="42">
        <f>Fin_Analysis!I81</f>
        <v>2.1205737325435711E-3</v>
      </c>
      <c r="F24" s="39" t="s">
        <v>227</v>
      </c>
      <c r="G24" s="43">
        <f>G3/(Fin_Analysis!H86*G7)</f>
        <v>4.1122004622262667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0.29617634281510608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7.2023809523809518E-2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8" t="s">
        <v>226</v>
      </c>
      <c r="H28" s="318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0.14057185524940852</v>
      </c>
      <c r="D29" s="54">
        <f>G29*(1+G20)</f>
        <v>0.24884610519087164</v>
      </c>
      <c r="E29" s="3"/>
      <c r="F29" s="55">
        <f>IF(Fin_Analysis!C108="Profit",Fin_Analysis!F100,IF(Fin_Analysis!C108="Dividend",Fin_Analysis!F103,Fin_Analysis!F106))</f>
        <v>0.16537865323459824</v>
      </c>
      <c r="G29" s="319">
        <f>IF(Fin_Analysis!C108="Profit",Fin_Analysis!I100,IF(Fin_Analysis!C108="Dividend",Fin_Analysis!I103,Fin_Analysis!I106))</f>
        <v>0.21638791755727971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379519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4823223</v>
      </c>
      <c r="D6" s="147">
        <f>IF(Inputs!D25="","",Inputs!D25)</f>
        <v>3684261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0.30914259331790017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3372942</v>
      </c>
      <c r="D8" s="149">
        <f>IF(Inputs!D26="","",Inputs!D26)</f>
        <v>2506999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1450281</v>
      </c>
      <c r="D9" s="279">
        <f t="shared" si="2"/>
        <v>1177262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1070762</v>
      </c>
      <c r="D10" s="149">
        <f>IF(Inputs!D27="","",Inputs!D27)</f>
        <v>881682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7.868576675803711E-2</v>
      </c>
      <c r="D13" s="300">
        <f t="shared" si="3"/>
        <v>8.0227758022572232E-2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379519</v>
      </c>
      <c r="D14" s="302">
        <f t="shared" ref="D14:M14" si="4">IF(D6="","",D9-D10-MAX(D11,0)-MAX(D12,0))</f>
        <v>295580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0.28398064821706476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10228</v>
      </c>
      <c r="D17" s="149">
        <f>IF(Inputs!D29="","",Inputs!D29)</f>
        <v>6896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369291</v>
      </c>
      <c r="D22" s="283">
        <f t="shared" ref="D22:M22" si="8">IF(D6="","",D14-MAX(D16,0)-MAX(D17,0)-ABS(MAX(D21,0)-MAX(D19,0)))</f>
        <v>288684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5.7423894769120153E-2</v>
      </c>
      <c r="D23" s="148">
        <f t="shared" si="9"/>
        <v>5.8767009177688553E-2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276968.25</v>
      </c>
      <c r="D24" s="282">
        <f>IF(D6="","",D22*(1-Fin_Analysis!$I$84))</f>
        <v>216513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0.27922226379016502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5941850</v>
      </c>
      <c r="D27" s="153">
        <f>IF(D34="","",D34+D30)</f>
        <v>5381829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754939</v>
      </c>
      <c r="D30" s="149">
        <f>IF(Inputs!D37="","",Inputs!D37)</f>
        <v>536770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5186911</v>
      </c>
      <c r="D34" s="149">
        <f>IF(Inputs!D41="","",Inputs!D41)</f>
        <v>4845059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>
        <f>IF(Inputs!D42="","",Inputs!D42)</f>
        <v>0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5941850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6.3872194686839953E-2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0.69931288683936033</v>
      </c>
      <c r="D40" s="156">
        <f t="shared" si="34"/>
        <v>0.6804618348157202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0.22200134640260258</v>
      </c>
      <c r="D41" s="151">
        <f t="shared" si="35"/>
        <v>0.23931040716170759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2.1205737325435711E-3</v>
      </c>
      <c r="D43" s="151">
        <f t="shared" si="37"/>
        <v>1.8717457856541652E-3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7.6565193025493528E-2</v>
      </c>
      <c r="D46" s="289">
        <f t="shared" si="40"/>
        <v>7.8356012236918071E-2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0.81173759014448366</v>
      </c>
      <c r="D48" s="159">
        <f t="shared" si="41"/>
        <v>0.684574147562102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0.87294546311334009</v>
      </c>
      <c r="D53" s="156">
        <f t="shared" si="45"/>
        <v>0.90026253156687064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2.7696315371888294E-2</v>
      </c>
      <c r="D55" s="151">
        <f t="shared" si="47"/>
        <v>2.3887711130509484E-2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1.149641946531804E-3</v>
      </c>
      <c r="D56" s="151" t="e">
        <f>IF(D34="","",IF(Inputs!D38=0,0,Inputs!D38/D27))</f>
        <v>#VALUE!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>Error</v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7.3168596877794895E-2</v>
      </c>
      <c r="D58" s="162">
        <f t="shared" si="49"/>
        <v>6.1006481035628259E-2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7.1196710334918034E-2</v>
      </c>
      <c r="D59" s="162">
        <f t="shared" si="50"/>
        <v>5.9583175354520963E-2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5186911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5186911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-754939</v>
      </c>
      <c r="E6" s="176">
        <f>1-D6/D3</f>
        <v>1.1455469353532381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754939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754939</v>
      </c>
      <c r="J48" s="193"/>
    </row>
    <row r="49" spans="2:11" ht="15" customHeight="1" thickTop="1" x14ac:dyDescent="0.35">
      <c r="B49" s="9" t="s">
        <v>14</v>
      </c>
      <c r="C49" s="190">
        <f>Inputs!C41+Inputs!C37</f>
        <v>5941850</v>
      </c>
      <c r="D49" s="176">
        <f>E49/C49</f>
        <v>0</v>
      </c>
      <c r="E49" s="182">
        <f>E28+E48</f>
        <v>0</v>
      </c>
      <c r="F49" s="3"/>
      <c r="G49" s="3"/>
      <c r="H49" s="9" t="s">
        <v>79</v>
      </c>
      <c r="I49" s="181">
        <f>Inputs!C37</f>
        <v>754939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17">
        <f>Inputs!C84</f>
        <v>0</v>
      </c>
      <c r="E57" s="316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-0.11135683496158075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-0.11135683496158075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-0.11135683496158075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5941850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754939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5186911</v>
      </c>
      <c r="D70" s="34">
        <f t="shared" si="2"/>
        <v>-0.14554693535323818</v>
      </c>
      <c r="E70" s="208">
        <f>E68-E69</f>
        <v>-754939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4823223</v>
      </c>
      <c r="D74" s="103"/>
      <c r="E74" s="262">
        <f>Inputs!E91</f>
        <v>4823223</v>
      </c>
      <c r="F74" s="103"/>
      <c r="H74" s="262">
        <f>Inputs!F91</f>
        <v>4823223</v>
      </c>
      <c r="I74" s="103"/>
      <c r="K74" s="75"/>
    </row>
    <row r="75" spans="1:11" ht="15" customHeight="1" x14ac:dyDescent="0.35">
      <c r="B75" s="105" t="s">
        <v>98</v>
      </c>
      <c r="C75" s="102">
        <f>Data!C8</f>
        <v>3372942</v>
      </c>
      <c r="D75" s="106">
        <f>C75/$C$74</f>
        <v>0.69931288683936033</v>
      </c>
      <c r="E75" s="262">
        <f>Inputs!E92</f>
        <v>3372942</v>
      </c>
      <c r="F75" s="217">
        <f>E75/E74</f>
        <v>0.69931288683936033</v>
      </c>
      <c r="H75" s="262">
        <f>Inputs!F92</f>
        <v>3372942</v>
      </c>
      <c r="I75" s="217">
        <f>H75/$H$74</f>
        <v>0.69931288683936033</v>
      </c>
      <c r="K75" s="75"/>
    </row>
    <row r="76" spans="1:11" ht="15" customHeight="1" x14ac:dyDescent="0.35">
      <c r="B76" s="12" t="s">
        <v>88</v>
      </c>
      <c r="C76" s="150">
        <f>C74-C75</f>
        <v>1450281</v>
      </c>
      <c r="D76" s="218"/>
      <c r="E76" s="219">
        <f>E74-E75</f>
        <v>1450281</v>
      </c>
      <c r="F76" s="218"/>
      <c r="H76" s="219">
        <f>H74-H75</f>
        <v>1450281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1070762</v>
      </c>
      <c r="D77" s="106">
        <f>C77/$C$74</f>
        <v>0.22200134640260258</v>
      </c>
      <c r="E77" s="262">
        <f>Inputs!E93</f>
        <v>1070762</v>
      </c>
      <c r="F77" s="217">
        <f>E77/E74</f>
        <v>0.22200134640260258</v>
      </c>
      <c r="H77" s="262">
        <f>Inputs!F93</f>
        <v>1070762</v>
      </c>
      <c r="I77" s="217">
        <f>H77/$H$74</f>
        <v>0.22200134640260258</v>
      </c>
      <c r="K77" s="75"/>
    </row>
    <row r="78" spans="1:11" ht="15" customHeight="1" x14ac:dyDescent="0.35">
      <c r="B78" s="98" t="s">
        <v>153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206</v>
      </c>
      <c r="C79" s="222">
        <f>C76-C77-C78</f>
        <v>379519</v>
      </c>
      <c r="D79" s="223">
        <f>C79/C74</f>
        <v>7.868576675803711E-2</v>
      </c>
      <c r="E79" s="224">
        <f>E76-E77-E78</f>
        <v>379519</v>
      </c>
      <c r="F79" s="223">
        <f>E79/E74</f>
        <v>7.868576675803711E-2</v>
      </c>
      <c r="G79" s="225"/>
      <c r="H79" s="224">
        <f>H76-H77-H78</f>
        <v>379519</v>
      </c>
      <c r="I79" s="223">
        <f>H79/H74</f>
        <v>7.868576675803711E-2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10228</v>
      </c>
      <c r="D81" s="106">
        <f>C81/$C$74</f>
        <v>2.1205737325435711E-3</v>
      </c>
      <c r="E81" s="220">
        <f>E74*F81</f>
        <v>10228</v>
      </c>
      <c r="F81" s="217">
        <f>I81</f>
        <v>2.1205737325435711E-3</v>
      </c>
      <c r="H81" s="262">
        <f>Inputs!F94</f>
        <v>10228</v>
      </c>
      <c r="I81" s="217">
        <f>H81/$H$74</f>
        <v>2.1205737325435711E-3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369291</v>
      </c>
      <c r="D83" s="229">
        <f>C83/$C$74</f>
        <v>7.6565193025493528E-2</v>
      </c>
      <c r="E83" s="230">
        <f>E79-E81-E82-E80</f>
        <v>369291</v>
      </c>
      <c r="F83" s="229">
        <f>E83/E74</f>
        <v>7.6565193025493528E-2</v>
      </c>
      <c r="H83" s="230">
        <f>H79-H81-H82-H80</f>
        <v>369291</v>
      </c>
      <c r="I83" s="229">
        <f>H83/$H$74</f>
        <v>7.6565193025493528E-2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276968.25</v>
      </c>
      <c r="D85" s="223">
        <f>C85/$C$74</f>
        <v>5.7423894769120153E-2</v>
      </c>
      <c r="E85" s="235">
        <f>E83*(1-F84)</f>
        <v>276968.25</v>
      </c>
      <c r="F85" s="223">
        <f>E85/E74</f>
        <v>5.7423894769120153E-2</v>
      </c>
      <c r="G85" s="225"/>
      <c r="H85" s="235">
        <f>H83*(1-I84)</f>
        <v>276968.25</v>
      </c>
      <c r="I85" s="223">
        <f>H85/$H$74</f>
        <v>5.7423894769120153E-2</v>
      </c>
      <c r="K85" s="75"/>
    </row>
    <row r="86" spans="1:11" ht="15" customHeight="1" x14ac:dyDescent="0.35">
      <c r="B86" s="3" t="s">
        <v>146</v>
      </c>
      <c r="C86" s="236">
        <f>C85*Data!C4/Common_Shares</f>
        <v>4.0854039471861746E-2</v>
      </c>
      <c r="D86" s="103"/>
      <c r="E86" s="237">
        <f>E85*Data!C4/Common_Shares</f>
        <v>4.0854039471861746E-2</v>
      </c>
      <c r="F86" s="103"/>
      <c r="H86" s="237">
        <f>H85*Data!C4/Common_Shares</f>
        <v>4.0854039471861746E-2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0.24317880638012943</v>
      </c>
      <c r="D87" s="103"/>
      <c r="E87" s="239">
        <f>E86*Exchange_Rate/Dashboard!G3</f>
        <v>0.24317880638012943</v>
      </c>
      <c r="F87" s="103"/>
      <c r="H87" s="239">
        <f>H86*Exchange_Rate/Dashboard!G3</f>
        <v>0.24317880638012943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1.21E-2</v>
      </c>
      <c r="D88" s="241">
        <f>C88/C86</f>
        <v>0.29617634281510608</v>
      </c>
      <c r="E88" s="261">
        <f>Inputs!E98</f>
        <v>1.21E-2</v>
      </c>
      <c r="F88" s="241">
        <f>E88/E86</f>
        <v>0.29617634281510608</v>
      </c>
      <c r="H88" s="261">
        <f>Inputs!F98</f>
        <v>1.21E-2</v>
      </c>
      <c r="I88" s="241">
        <f>H88/H86</f>
        <v>0.29617634281510608</v>
      </c>
      <c r="K88" s="75"/>
    </row>
    <row r="89" spans="1:11" ht="15" customHeight="1" x14ac:dyDescent="0.35">
      <c r="B89" s="3" t="s">
        <v>196</v>
      </c>
      <c r="C89" s="238">
        <f>C88*Exchange_Rate/Dashboard!G3</f>
        <v>7.2023809523809518E-2</v>
      </c>
      <c r="D89" s="103"/>
      <c r="E89" s="238">
        <f>E88*Exchange_Rate/Dashboard!G3</f>
        <v>7.2023809523809518E-2</v>
      </c>
      <c r="F89" s="103"/>
      <c r="H89" s="238">
        <f>H88*Exchange_Rate/Dashboard!G3</f>
        <v>7.2023809523809518E-2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4</v>
      </c>
      <c r="E93" s="3" t="s">
        <v>185</v>
      </c>
      <c r="F93" s="243">
        <f>FV(E87,D93,0,-(E86/(C93-D94)))*Exchange_Rate</f>
        <v>1.7661887437791144</v>
      </c>
      <c r="H93" s="3" t="s">
        <v>185</v>
      </c>
      <c r="I93" s="243">
        <f>FV(H87,D93,0,-(H86/(C93-D94)))*Exchange_Rate</f>
        <v>1.7661887437791144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0.28924829812389496</v>
      </c>
      <c r="H94" s="3" t="s">
        <v>186</v>
      </c>
      <c r="I94" s="243">
        <f>FV(H89,D93,0,-(H88/(C93-D94)))*Exchange_Rate</f>
        <v>0.28924829812389496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6846060.5194301726</v>
      </c>
      <c r="D97" s="250"/>
      <c r="E97" s="251">
        <f>PV(C94,D93,0,-F93)</f>
        <v>1.0098241465855911</v>
      </c>
      <c r="F97" s="250"/>
      <c r="H97" s="251">
        <f>PV(C94,D93,0,-I93)</f>
        <v>1.0098241465855911</v>
      </c>
      <c r="I97" s="251">
        <f>PV(C93,D93,0,-I93)</f>
        <v>1.3212935279424489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-754939</v>
      </c>
      <c r="D99" s="254"/>
      <c r="E99" s="255">
        <f>IF(H99&gt;0,I64,H99)</f>
        <v>-0.11135683496158075</v>
      </c>
      <c r="F99" s="254"/>
      <c r="H99" s="255">
        <f>I64</f>
        <v>-0.11135683496158075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0.76369721488040876</v>
      </c>
      <c r="E100" s="257">
        <f>MAX(E97+H98+E99,0)</f>
        <v>0.89846731162401028</v>
      </c>
      <c r="F100" s="257">
        <f>(E100+H100)/2</f>
        <v>0.89846731162401028</v>
      </c>
      <c r="H100" s="257">
        <f>MAX(H97+H98+H99,0)</f>
        <v>0.89846731162401028</v>
      </c>
      <c r="I100" s="257">
        <f>MAX(I97+H98+H99,0)</f>
        <v>1.2099366929808681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0.14057185524940852</v>
      </c>
      <c r="E103" s="251">
        <f>PV(C94,D93,0,-F94)</f>
        <v>0.16537865323459824</v>
      </c>
      <c r="F103" s="257">
        <f>(E103+H103)/2</f>
        <v>0.16537865323459824</v>
      </c>
      <c r="H103" s="251">
        <f>PV(C94,D93,0,-I94)</f>
        <v>0.16537865323459824</v>
      </c>
      <c r="I103" s="257">
        <f>PV(C93,D93,0,-I94)</f>
        <v>0.21638791755727971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0.45213453506490864</v>
      </c>
      <c r="E106" s="251">
        <f>(E100+E103)/2</f>
        <v>0.53192298242930425</v>
      </c>
      <c r="F106" s="257">
        <f>(F100+F103)/2</f>
        <v>0.53192298242930425</v>
      </c>
      <c r="H106" s="251">
        <f>(H100+H103)/2</f>
        <v>0.53192298242930425</v>
      </c>
      <c r="I106" s="251">
        <f>(I100+I103)/2</f>
        <v>0.71316230526907387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