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1105480-94EC-45EA-B3F2-9B9AA572D93D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F91" i="4"/>
  <c r="F92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G2" i="1"/>
  <c r="E93" i="4" l="1"/>
  <c r="F96" i="4"/>
  <c r="F95" i="4"/>
  <c r="E92" i="4"/>
  <c r="F97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J27" i="2" l="1"/>
  <c r="D27" i="2"/>
  <c r="D3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<sst xmlns="http://schemas.openxmlformats.org/spreadsheetml/2006/main" count="403" uniqueCount="288">
  <si>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</si>
  <si>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</si>
  <si>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</si>
  <si>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</si>
  <si>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</si>
  <si>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</si>
  <si>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</si>
  <si>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</si>
  <si>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</si>
  <si>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</si>
  <si>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</si>
  <si>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</si>
  <si>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</si>
  <si>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</si>
  <si>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</si>
  <si>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</si>
  <si>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</si>
  <si>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</si>
  <si>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</si>
  <si>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</si>
  <si>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</si>
  <si>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</si>
  <si>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</si>
  <si>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</si>
  <si>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</si>
  <si>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</si>
  <si>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</si>
  <si>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</si>
  <si>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</si>
  <si>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</si>
  <si>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</si>
  <si>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</si>
  <si>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</si>
  <si>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</si>
  <si>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</si>
  <si>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</si>
  <si>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</si>
  <si>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</si>
  <si>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</si>
  <si>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</si>
  <si>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</si>
  <si>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</si>
  <si>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</si>
  <si>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</si>
  <si>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</si>
  <si>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</si>
  <si>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</si>
  <si>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</si>
  <si>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</si>
  <si>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</si>
  <si>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</si>
  <si>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</si>
  <si>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</si>
  <si>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</si>
  <si>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</si>
  <si>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</si>
  <si>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</si>
  <si>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</si>
  <si>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</si>
  <si>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</si>
  <si>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</si>
  <si>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</si>
  <si>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</si>
  <si>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</si>
  <si>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</si>
  <si>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</si>
  <si>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</si>
  <si>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</si>
  <si>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</si>
  <si>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</si>
  <si>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</si>
  <si>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</si>
  <si>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</si>
  <si>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</si>
  <si>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</si>
  <si>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</si>
  <si>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</si>
  <si>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</si>
  <si>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</si>
  <si>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</si>
  <si>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</si>
  <si>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</si>
  <si>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</si>
  <si>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</si>
  <si>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</si>
  <si>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</si>
  <si>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</si>
  <si>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</si>
  <si>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</si>
  <si>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</si>
  <si>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</si>
  <si>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</si>
  <si>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</si>
  <si>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</si>
  <si>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</si>
  <si>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</si>
  <si>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</si>
  <si>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</si>
  <si>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</si>
  <si>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</si>
  <si>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</si>
  <si>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</si>
  <si>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</si>
  <si>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</si>
  <si>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</si>
  <si>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</si>
  <si>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</si>
  <si>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</si>
  <si>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</si>
  <si>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</si>
  <si>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</si>
  <si>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</si>
  <si>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</si>
  <si>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</si>
  <si>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</si>
  <si>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</si>
  <si>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</si>
  <si>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</si>
  <si>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</si>
  <si>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</si>
  <si>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</si>
  <si>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</si>
  <si>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</si>
  <si>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</si>
  <si>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</si>
  <si>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</si>
  <si>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</si>
  <si>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</si>
  <si>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</si>
  <si>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</si>
  <si>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</si>
  <si>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</si>
  <si>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</si>
  <si>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</si>
  <si>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</si>
  <si>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</si>
  <si>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</si>
  <si>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</si>
  <si>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</si>
  <si>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</si>
  <si>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</si>
  <si>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</si>
  <si>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</si>
  <si>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</si>
  <si>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</si>
  <si>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</si>
  <si>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</si>
  <si>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</si>
  <si>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</si>
  <si>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</si>
  <si>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</si>
  <si>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</si>
  <si>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</si>
  <si>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</si>
  <si>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</si>
  <si>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</si>
  <si>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</si>
  <si>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</si>
  <si>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</si>
  <si>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</si>
  <si>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</si>
  <si>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</si>
  <si>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</si>
  <si>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</si>
  <si>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</si>
  <si>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</si>
  <si>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</si>
  <si>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</si>
  <si>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</si>
  <si>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</si>
  <si>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</si>
  <si>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</si>
  <si>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</si>
  <si>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</si>
  <si>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</si>
  <si>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</si>
  <si>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</si>
  <si>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</si>
  <si>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</si>
  <si>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</si>
  <si>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</si>
  <si>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</si>
  <si>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</si>
  <si>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</si>
  <si>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</si>
  <si>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</si>
  <si>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</si>
  <si>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</si>
  <si>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</si>
  <si>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</si>
  <si>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</si>
  <si>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</si>
  <si>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</si>
  <si>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</si>
  <si>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</si>
  <si>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</si>
  <si>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</si>
  <si>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</si>
  <si>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</si>
  <si>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</si>
  <si>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</si>
  <si>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</si>
  <si>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</si>
  <si>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</si>
  <si>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</si>
  <si>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</si>
  <si>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</si>
  <si>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</si>
  <si>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</si>
  <si>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</si>
  <si>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</si>
  <si>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</si>
  <si>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</si>
  <si>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</si>
  <si>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</si>
  <si>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</si>
  <si>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</si>
  <si>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</si>
  <si>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</si>
  <si>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</si>
  <si>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</si>
  <si>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</si>
  <si>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</si>
  <si>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</si>
  <si>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</si>
  <si>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</si>
  <si>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</si>
  <si>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</si>
  <si>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</si>
  <si>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</si>
  <si>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</si>
  <si>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</si>
  <si>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</si>
  <si>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</si>
  <si>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</si>
  <si>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</si>
  <si>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</si>
  <si>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</si>
  <si>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</si>
  <si>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</si>
  <si>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</si>
  <si>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</si>
  <si>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</si>
  <si>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</si>
  <si>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</si>
  <si>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</si>
  <si>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</si>
  <si>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</si>
  <si>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</si>
  <si>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</si>
  <si>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</si>
  <si>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</si>
  <si>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</si>
  <si>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</si>
  <si>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</si>
  <si>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</si>
  <si>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</si>
  <si>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</si>
  <si>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</si>
  <si>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</si>
  <si>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</si>
  <si>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</si>
  <si>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</si>
  <si>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</si>
  <si>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</si>
  <si>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</si>
  <si>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</si>
  <si>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</si>
  <si>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</si>
  <si>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</si>
  <si>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</si>
  <si>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</si>
  <si>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</si>
  <si>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</si>
  <si>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</si>
  <si>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</si>
  <si>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</si>
  <si>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</si>
  <si>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</si>
  <si>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0939.HK</t>
  </si>
  <si>
    <t>建设银行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</si>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</sst>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  <c r="D4" s="66"/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45605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250010977486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1402495</v>
      </c>
      <c r="D25" s="80">
        <v>1324203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669001</v>
      </c>
      <c r="D26" s="82">
        <v>567720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220152</v>
      </c>
      <c r="D27" s="82">
        <v>219991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-193</v>
      </c>
      <c r="D30" s="82">
        <v>136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>
        <v>11972903</v>
      </c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>
        <v>213823</v>
      </c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>
        <v>8852611</v>
      </c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/>
      <c r="D37" s="82">
        <v>2466431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>
        <v>241133</v>
      </c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>
        <v>35175</v>
      </c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>
        <v>67759</v>
      </c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>
        <v>12220942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>
        <v>-498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>
        <v>3475378</v>
      </c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0.4+0.197</f>
        <v>0.59699999999999998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9.816233271609133E-2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3339708</v>
      </c>
      <c r="D48" s="114">
        <v>0.9</v>
      </c>
      <c r="E48" s="266"/>
    </row>
    <row r="49" spans="2:5" x14ac:dyDescent="0.35">
      <c r="B49" s="2" t="s">
        <v>125</v>
      </c>
      <c r="C49" s="91">
        <v>683021</v>
      </c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>
        <v>2962684</v>
      </c>
      <c r="D51" s="114">
        <v>0.6</v>
      </c>
      <c r="E51" s="266"/>
    </row>
    <row r="52" spans="2:5" x14ac:dyDescent="0.35">
      <c r="B52" s="9" t="s">
        <v>36</v>
      </c>
      <c r="C52" s="91">
        <v>6961515</v>
      </c>
      <c r="D52" s="114">
        <v>0.5</v>
      </c>
      <c r="E52" s="266"/>
    </row>
    <row r="53" spans="2:5" x14ac:dyDescent="0.35">
      <c r="B53" s="2" t="s">
        <v>143</v>
      </c>
      <c r="C53" s="91">
        <v>25589624</v>
      </c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>
        <v>82672</v>
      </c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v>21347</v>
      </c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>
        <v>4094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181735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5722</v>
      </c>
      <c r="D70" s="114">
        <v>0.05</v>
      </c>
      <c r="E70" s="266"/>
    </row>
    <row r="71" spans="2:5" x14ac:dyDescent="0.35">
      <c r="B71" s="9" t="s">
        <v>67</v>
      </c>
      <c r="C71" s="91">
        <v>118797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343468</v>
      </c>
      <c r="D72" s="116">
        <v>0</v>
      </c>
      <c r="E72" s="268"/>
    </row>
    <row r="73" spans="2:5" x14ac:dyDescent="0.35">
      <c r="B73" s="9" t="s">
        <v>31</v>
      </c>
      <c r="C73" s="91">
        <v>33710837</v>
      </c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>
        <v>2498474</v>
      </c>
    </row>
    <row r="77" spans="2:5" ht="12" thickBot="1" x14ac:dyDescent="0.4">
      <c r="B77" s="96" t="s">
        <v>15</v>
      </c>
      <c r="C77" s="97">
        <v>37038911</v>
      </c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>
        <v>3234661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1402495</v>
      </c>
      <c r="D91" s="103"/>
      <c r="E91" s="104">
        <f>C91</f>
        <v>1402495</v>
      </c>
      <c r="F91" s="104">
        <f>C91</f>
        <v>1402495</v>
      </c>
    </row>
    <row r="92" spans="2:8" x14ac:dyDescent="0.35">
      <c r="B92" s="105" t="s">
        <v>97</v>
      </c>
      <c r="C92" s="102">
        <f>C26</f>
        <v>669001</v>
      </c>
      <c r="D92" s="106">
        <f>C92/C91</f>
        <v>0.47700776116848903</v>
      </c>
      <c r="E92" s="107">
        <f>E91*D92</f>
        <v>669001</v>
      </c>
      <c r="F92" s="107">
        <f>F91*D92</f>
        <v>669001</v>
      </c>
    </row>
    <row r="93" spans="2:8" x14ac:dyDescent="0.35">
      <c r="B93" s="105" t="s">
        <v>217</v>
      </c>
      <c r="C93" s="102">
        <f>C27+C28</f>
        <v>220152</v>
      </c>
      <c r="D93" s="106">
        <f>C93/C91</f>
        <v>0.15697168260849415</v>
      </c>
      <c r="E93" s="107">
        <f>E91*D93</f>
        <v>220152</v>
      </c>
      <c r="F93" s="107">
        <f>F91*D93</f>
        <v>220152</v>
      </c>
    </row>
    <row r="94" spans="2:8" x14ac:dyDescent="0.35">
      <c r="B94" s="105" t="s">
        <v>223</v>
      </c>
      <c r="C94" s="102">
        <f>C29</f>
        <v>0</v>
      </c>
      <c r="D94" s="106">
        <f>C94/C91</f>
        <v>0</v>
      </c>
      <c r="E94" s="108"/>
      <c r="F94" s="107">
        <f>F91*D94</f>
        <v>0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0.59699999999999998</v>
      </c>
      <c r="D98" s="110"/>
      <c r="E98" s="111">
        <f>F98</f>
        <v>0.4</v>
      </c>
      <c r="F98" s="111">
        <v>0.4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0939.HK : 建设银行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0939.HK</v>
      </c>
      <c r="D3" s="312"/>
      <c r="E3" s="3"/>
      <c r="F3" s="9" t="s">
        <v>1</v>
      </c>
      <c r="G3" s="10">
        <v>6.47</v>
      </c>
      <c r="H3" s="11" t="s">
        <v>258</v>
      </c>
    </row>
    <row r="4" spans="1:10" ht="15.75" customHeight="1" x14ac:dyDescent="0.35">
      <c r="B4" s="12" t="s">
        <v>170</v>
      </c>
      <c r="C4" s="313" t="str">
        <f>Inputs!C5</f>
        <v>建设银行</v>
      </c>
      <c r="D4" s="314"/>
      <c r="E4" s="3"/>
      <c r="F4" s="9" t="s">
        <v>2</v>
      </c>
      <c r="G4" s="317">
        <f>Inputs!C10</f>
        <v>250010977486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45605</v>
      </c>
      <c r="D5" s="316"/>
      <c r="E5" s="16"/>
      <c r="F5" s="12" t="s">
        <v>91</v>
      </c>
      <c r="G5" s="320">
        <f>G3*G4/1000000</f>
        <v>1617571.02433442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239</v>
      </c>
      <c r="C21" s="33">
        <f>Data!C13</f>
        <v>0.36602055622301682</v>
      </c>
      <c r="F21" s="3"/>
      <c r="G21" s="34"/>
    </row>
    <row r="22" spans="1:8" ht="15.75" customHeight="1" x14ac:dyDescent="0.35">
      <c r="B22" s="35" t="s">
        <v>246</v>
      </c>
      <c r="C22" s="36" t="e">
        <f>Data!C48</f>
        <v>#DIV/0!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</v>
      </c>
      <c r="F24" s="39" t="s">
        <v>225</v>
      </c>
      <c r="G24" s="43">
        <f>G3/(Fin_Analysis!H86*G7)</f>
        <v>3.9493032005430488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0.2597472795768383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6.5770407179960702E-2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224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4.4102339652926048</v>
      </c>
      <c r="D29" s="54">
        <f>G29*(1+G20)</f>
        <v>7.656544673105353</v>
      </c>
      <c r="E29" s="3"/>
      <c r="F29" s="55">
        <f>IF(Fin_Analysis!C108="Profit",Fin_Analysis!F100,IF(Fin_Analysis!C108="Dividend",Fin_Analysis!F103,Fin_Analysis!F106))</f>
        <v>5.1885105474030651</v>
      </c>
      <c r="G29" s="319">
        <f>IF(Fin_Analysis!C108="Profit",Fin_Analysis!I100,IF(Fin_Analysis!C108="Dividend",Fin_Analysis!I103,Fin_Analysis!I106))</f>
        <v>6.6578649331350901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513342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1402495</v>
      </c>
      <c r="D6" s="147">
        <f>IF(Inputs!D25="","",Inputs!D25)</f>
        <v>1324203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5.9123865449632662E-2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669001</v>
      </c>
      <c r="D8" s="149">
        <f>IF(Inputs!D26="","",Inputs!D26)</f>
        <v>567720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733494</v>
      </c>
      <c r="D9" s="279">
        <f t="shared" si="2"/>
        <v>756483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220152</v>
      </c>
      <c r="D10" s="149">
        <f>IF(Inputs!D27="","",Inputs!D27)</f>
        <v>219991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181.33333333333334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0.36602055622301682</v>
      </c>
      <c r="D13" s="300">
        <f t="shared" si="3"/>
        <v>0.40500638245545934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513342</v>
      </c>
      <c r="D14" s="302">
        <f t="shared" ref="D14:M14" si="4">IF(D6="","",D9-D10-MAX(D11,0)-MAX(D12,0))</f>
        <v>536310.66666666663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-4.282716733833368E-2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 t="str">
        <f>IF(Inputs!C29="","",Inputs!C29)</f>
        <v/>
      </c>
      <c r="D17" s="149" t="str">
        <f>IF(Inputs!D29="","",Inputs!D29)</f>
        <v/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513342</v>
      </c>
      <c r="D22" s="283">
        <f t="shared" ref="D22:M22" si="8">IF(D6="","",D14-MAX(D16,0)-MAX(D17,0)-ABS(MAX(D21,0)-MAX(D19,0)))</f>
        <v>536310.66666666663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0.27451541716726263</v>
      </c>
      <c r="D23" s="148">
        <f t="shared" si="9"/>
        <v>0.30375478684159452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385006.5</v>
      </c>
      <c r="D24" s="282">
        <f>IF(D6="","",D22*(1-Fin_Analysis!$I$84))</f>
        <v>402233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-4.2827167338333749E-2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>
        <f>IF(D34="","",D34+D30)</f>
        <v>14687373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>
        <f>IF(Inputs!D35="","",Inputs!D35)</f>
        <v>213823</v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>
        <f>IF(Inputs!D36="","",Inputs!D36)</f>
        <v>8852611</v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0</v>
      </c>
      <c r="D30" s="149">
        <f>IF(Inputs!D37="","",Inputs!D37)</f>
        <v>2466431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36209311</v>
      </c>
      <c r="D31" s="149">
        <f>IF(Inputs!D39="","",Inputs!D39)</f>
        <v>35175</v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>
        <f>IF(Inputs!D40="","",Inputs!D40)</f>
        <v>67759</v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36209311</v>
      </c>
      <c r="D33" s="102">
        <f t="shared" ref="D33" si="22">IF(OR(D31="",D32=""),"",D31+D32)</f>
        <v>102934</v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>
        <f>IF(Inputs!D41="","",Inputs!D41)</f>
        <v>12220942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>
        <f>IF(Inputs!D42="","",Inputs!D42)</f>
        <v>-498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>
        <f>IF(Inputs!D43="","",Inputs!D43)</f>
        <v>3475378</v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-13367926</v>
      </c>
      <c r="D37" s="153">
        <f t="shared" ref="D37:M37" si="32">IF(D36="","",D27-D36)</f>
        <v>11211995</v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>
        <f>IF(D6="","",D14/MAX(D37,0))</f>
        <v>4.7833651965298471E-2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0.47700776116848903</v>
      </c>
      <c r="D40" s="156">
        <f t="shared" si="34"/>
        <v>0.42872580714588321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0.15697168260849415</v>
      </c>
      <c r="D41" s="151">
        <f t="shared" si="35"/>
        <v>0.16613087268341786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</v>
      </c>
      <c r="D43" s="151">
        <f t="shared" si="37"/>
        <v>0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1.3693771523953151E-4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0.36602055622301682</v>
      </c>
      <c r="D46" s="289">
        <f t="shared" si="40"/>
        <v>0.40500638245545934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 t="e">
        <f t="shared" ref="C48:M48" si="41">IF(C6="","",C6/C27)</f>
        <v>#DIV/0!</v>
      </c>
      <c r="D48" s="159">
        <f t="shared" si="41"/>
        <v>9.0159281717704043E-2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>
        <f t="shared" si="42"/>
        <v>0.16147297657534382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>
        <f t="shared" si="43"/>
        <v>6.6852370822298397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 t="e">
        <f t="shared" ref="C53:M53" si="45">IF(C34="","",(C34-C35)/C27)</f>
        <v>#DIV/0!</v>
      </c>
      <c r="D53" s="156">
        <f t="shared" si="45"/>
        <v>0.83210523760784183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1.4177071748203107E-2</v>
      </c>
      <c r="D54" s="160">
        <f t="shared" si="46"/>
        <v>5.2102382756588357</v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>
        <f>IF(D34="","",IF(Inputs!D38=0,0,Inputs!D38/D27))</f>
        <v>1.6417707918223362E-2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 t="e">
        <f t="shared" ref="C58:M58" si="49">IF(C14="","",C14/(C34-C35))</f>
        <v>#DIV/0!</v>
      </c>
      <c r="D58" s="162">
        <f t="shared" si="49"/>
        <v>4.3882772133780196E-2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 t="e">
        <f t="shared" ref="C59:M59" si="50">IF(C22="","",C22/(C34-C35))</f>
        <v>#DIV/0!</v>
      </c>
      <c r="D59" s="162">
        <f t="shared" si="50"/>
        <v>4.3882772133780196E-2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1.0674328950978067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24292217.299999997</v>
      </c>
      <c r="E6" s="176" t="e">
        <f>1-D6/D3</f>
        <v>#DIV/0!</v>
      </c>
      <c r="F6" s="3"/>
      <c r="G6" s="3"/>
      <c r="H6" s="2" t="s">
        <v>24</v>
      </c>
      <c r="I6" s="174">
        <f>(C24+C25)/I28</f>
        <v>1.0674328950978067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103.36723494669508</v>
      </c>
      <c r="E7" s="173" t="str">
        <f>Dashboard!H3</f>
        <v>HKD</v>
      </c>
      <c r="H7" s="2" t="s">
        <v>25</v>
      </c>
      <c r="I7" s="174">
        <f>C24/I28</f>
        <v>0.1885966085773958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3339708</v>
      </c>
      <c r="D11" s="264">
        <f>Inputs!D48</f>
        <v>0.9</v>
      </c>
      <c r="E11" s="182">
        <f t="shared" ref="E11:E22" si="0">C11*D11</f>
        <v>3005737.2</v>
      </c>
      <c r="F11" s="266"/>
      <c r="G11" s="3"/>
      <c r="H11" s="9" t="s">
        <v>31</v>
      </c>
      <c r="I11" s="181">
        <f>Inputs!C73</f>
        <v>33710837</v>
      </c>
      <c r="J11" s="3"/>
      <c r="K11" s="75"/>
    </row>
    <row r="12" spans="1:11" ht="11.65" x14ac:dyDescent="0.35">
      <c r="B12" s="2" t="s">
        <v>125</v>
      </c>
      <c r="C12" s="181">
        <f>Inputs!C49</f>
        <v>683021</v>
      </c>
      <c r="D12" s="264">
        <f>Inputs!D49</f>
        <v>0.8</v>
      </c>
      <c r="E12" s="182">
        <f t="shared" si="0"/>
        <v>546416.80000000005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2962684</v>
      </c>
      <c r="D14" s="264">
        <f>Inputs!D51</f>
        <v>0.6</v>
      </c>
      <c r="E14" s="182">
        <f t="shared" si="0"/>
        <v>1777610.4</v>
      </c>
      <c r="F14" s="266"/>
      <c r="G14" s="3"/>
      <c r="H14" s="8" t="s">
        <v>35</v>
      </c>
      <c r="I14" s="184">
        <f>Inputs!C76</f>
        <v>2498474</v>
      </c>
      <c r="J14" s="3"/>
      <c r="K14" s="185"/>
    </row>
    <row r="15" spans="1:11" ht="11.65" x14ac:dyDescent="0.35">
      <c r="B15" s="9" t="s">
        <v>36</v>
      </c>
      <c r="C15" s="181">
        <f>Inputs!C52</f>
        <v>6961515</v>
      </c>
      <c r="D15" s="264">
        <f>Inputs!D52</f>
        <v>0.5</v>
      </c>
      <c r="E15" s="182">
        <f t="shared" si="0"/>
        <v>3480757.5</v>
      </c>
      <c r="F15" s="266"/>
      <c r="G15" s="3"/>
      <c r="H15" s="2" t="s">
        <v>46</v>
      </c>
      <c r="I15" s="186">
        <f>SUM(I11:I14)</f>
        <v>36209311</v>
      </c>
      <c r="J15" s="3"/>
    </row>
    <row r="16" spans="1:11" ht="11.65" x14ac:dyDescent="0.35">
      <c r="B16" s="2" t="s">
        <v>143</v>
      </c>
      <c r="C16" s="181">
        <f>Inputs!C53</f>
        <v>25589624</v>
      </c>
      <c r="D16" s="264">
        <f>Inputs!D53</f>
        <v>0.6</v>
      </c>
      <c r="E16" s="182">
        <f t="shared" si="0"/>
        <v>15353774.399999999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829600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6985413</v>
      </c>
      <c r="D24" s="191">
        <f>IF(E24=0,0,E24/C24)</f>
        <v>0.76298486574809543</v>
      </c>
      <c r="E24" s="182">
        <f>SUM(E11:E14)</f>
        <v>5329764.4000000004</v>
      </c>
      <c r="F24" s="192">
        <f>E24/$E$28</f>
        <v>0.22056360896385802</v>
      </c>
      <c r="G24" s="3"/>
    </row>
    <row r="25" spans="2:10" ht="15" customHeight="1" x14ac:dyDescent="0.35">
      <c r="B25" s="189" t="s">
        <v>47</v>
      </c>
      <c r="C25" s="190">
        <f>SUM(C15:C17)</f>
        <v>32551139</v>
      </c>
      <c r="D25" s="191">
        <f>IF(E25=0,0,E25/C25)</f>
        <v>0.57861360550240648</v>
      </c>
      <c r="E25" s="182">
        <f>SUM(E15:E17)</f>
        <v>18834531.899999999</v>
      </c>
      <c r="F25" s="192">
        <f>E25/$E$28</f>
        <v>0.77943639103614204</v>
      </c>
      <c r="G25" s="3"/>
      <c r="H25" s="189" t="s">
        <v>48</v>
      </c>
      <c r="I25" s="174">
        <f>E28/I28</f>
        <v>0.65240299046589134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>
        <f>E26/$E$28</f>
        <v>0</v>
      </c>
      <c r="G26" s="3"/>
      <c r="H26" s="189" t="s">
        <v>50</v>
      </c>
      <c r="I26" s="174">
        <f>E24/($I$28-I22)</f>
        <v>0.14719320121832752</v>
      </c>
      <c r="J26" s="193" t="str">
        <f>IF(I26&lt;1,"Liquidity Problem!","")</f>
        <v>Liquidity Problem!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0.65240299046589134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14</v>
      </c>
      <c r="C28" s="195">
        <f>SUM(C11:C22)</f>
        <v>39536552</v>
      </c>
      <c r="D28" s="196">
        <f>E28/C28</f>
        <v>0.61118876274289158</v>
      </c>
      <c r="E28" s="197">
        <f>SUM(E24:E27)</f>
        <v>24164296.299999997</v>
      </c>
      <c r="F28" s="92"/>
      <c r="G28" s="3"/>
      <c r="H28" s="194" t="s">
        <v>15</v>
      </c>
      <c r="I28" s="167">
        <f>Inputs!C77</f>
        <v>37038911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82672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21347</v>
      </c>
      <c r="D35" s="264">
        <f>Inputs!D65</f>
        <v>0.1</v>
      </c>
      <c r="E35" s="182">
        <f t="shared" si="1"/>
        <v>2134.7000000000003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4094</v>
      </c>
      <c r="D37" s="264">
        <f>Inputs!D67</f>
        <v>0.1</v>
      </c>
      <c r="E37" s="182">
        <f t="shared" si="1"/>
        <v>409.40000000000003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181735</v>
      </c>
      <c r="D38" s="264">
        <f>Inputs!D68</f>
        <v>0.1</v>
      </c>
      <c r="E38" s="182">
        <f t="shared" si="1"/>
        <v>18173.5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5722</v>
      </c>
      <c r="D40" s="264">
        <f>Inputs!D70</f>
        <v>0.05</v>
      </c>
      <c r="E40" s="182">
        <f t="shared" si="1"/>
        <v>286.10000000000002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118797</v>
      </c>
      <c r="D41" s="264">
        <f>Inputs!D71</f>
        <v>0.9</v>
      </c>
      <c r="E41" s="182">
        <f t="shared" si="1"/>
        <v>106917.3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343468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-37038911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82672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21347</v>
      </c>
      <c r="D45" s="191">
        <f>IF(E45=0,0,E45/C45)</f>
        <v>0.10000000000000002</v>
      </c>
      <c r="E45" s="182">
        <f>SUM(E32:E35)</f>
        <v>2134.7000000000003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185829</v>
      </c>
      <c r="D46" s="191">
        <f>IF(E46=0,0,E46/C46)</f>
        <v>0.1</v>
      </c>
      <c r="E46" s="182">
        <f>E36+E37+E38+E39</f>
        <v>18582.900000000001</v>
      </c>
      <c r="F46" s="3"/>
      <c r="G46" s="3"/>
      <c r="H46" s="189" t="s">
        <v>73</v>
      </c>
      <c r="I46" s="174">
        <f>(E44+E24)/E64</f>
        <v>0.14719320121832752</v>
      </c>
      <c r="J46" s="193" t="str">
        <f>IF(I46&lt;1,"Liquidity Problem!","")</f>
        <v>Liquidity Problem!</v>
      </c>
    </row>
    <row r="47" spans="2:10" ht="15" customHeight="1" x14ac:dyDescent="0.35">
      <c r="B47" s="189" t="s">
        <v>74</v>
      </c>
      <c r="C47" s="190">
        <f>C40+C41+C42</f>
        <v>467987</v>
      </c>
      <c r="D47" s="191">
        <f>IF(E47=0,0,E47/C47)</f>
        <v>0.22907345716868205</v>
      </c>
      <c r="E47" s="182">
        <f>E40+E41+E42</f>
        <v>107203.40000000001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757835</v>
      </c>
      <c r="D48" s="201">
        <f>E48/C48</f>
        <v>0.16879795733899861</v>
      </c>
      <c r="E48" s="202">
        <f>SUM(E30:E42)</f>
        <v>127921</v>
      </c>
      <c r="F48" s="3"/>
      <c r="G48" s="3"/>
      <c r="H48" s="96" t="s">
        <v>77</v>
      </c>
      <c r="I48" s="203">
        <f>I49-I28</f>
        <v>-37038911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24292217.299999997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36209311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9945546</v>
      </c>
      <c r="D61" s="176">
        <f t="shared" ref="D61:D70" si="2">IF(E61=0,0,E61/C61)</f>
        <v>0.52893049813454185</v>
      </c>
      <c r="E61" s="188">
        <f>E14+E15+(E19*G19)+(E20*G20)+E31+E32+(E35*G35)+(E36*G36)+(E37*G37)</f>
        <v>5260502.6000000006</v>
      </c>
      <c r="F61" s="3"/>
      <c r="G61" s="3"/>
      <c r="H61" s="2" t="s">
        <v>255</v>
      </c>
      <c r="I61" s="209">
        <f>C99*Data!$C$4/Common_Shares</f>
        <v>-118.9021969543566</v>
      </c>
      <c r="K61" s="178"/>
    </row>
    <row r="62" spans="2:11" ht="11.65" x14ac:dyDescent="0.35">
      <c r="B62" s="12" t="s">
        <v>129</v>
      </c>
      <c r="C62" s="210">
        <f>C11+C30</f>
        <v>3422380</v>
      </c>
      <c r="D62" s="211">
        <f t="shared" si="2"/>
        <v>0.87825933999146799</v>
      </c>
      <c r="E62" s="212">
        <f>E11+E30</f>
        <v>3005737.2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13367926</v>
      </c>
      <c r="D63" s="34">
        <f t="shared" si="2"/>
        <v>0.6183636713728069</v>
      </c>
      <c r="E63" s="190">
        <f>E61+E62</f>
        <v>8266239.8000000007</v>
      </c>
      <c r="F63" s="3"/>
      <c r="G63" s="3"/>
      <c r="H63" s="2" t="s">
        <v>256</v>
      </c>
      <c r="I63" s="213">
        <f>IF(I61&gt;0,FV(I62,D93,0,-I61),I61)</f>
        <v>-118.9021969543566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36209311</v>
      </c>
      <c r="F64" s="3"/>
      <c r="G64" s="3"/>
      <c r="H64" s="2" t="s">
        <v>257</v>
      </c>
      <c r="I64" s="213">
        <f>IF(I61&gt;0,PV(C94,D93,0,-I63),I61)</f>
        <v>-118.9021969543566</v>
      </c>
      <c r="K64" s="178"/>
    </row>
    <row r="65" spans="1:11" ht="12" thickTop="1" x14ac:dyDescent="0.35">
      <c r="B65" s="9" t="s">
        <v>132</v>
      </c>
      <c r="C65" s="208">
        <f>C63-E64</f>
        <v>-22841385</v>
      </c>
      <c r="D65" s="34">
        <f t="shared" si="2"/>
        <v>1.2233527520332064</v>
      </c>
      <c r="E65" s="190">
        <f>E63-E64</f>
        <v>-27943071.199999999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-13367926</v>
      </c>
      <c r="D68" s="34">
        <f t="shared" si="2"/>
        <v>-1.198837987283891</v>
      </c>
      <c r="E68" s="208">
        <f>E49-E63</f>
        <v>16025977.499999996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-36209311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22841385</v>
      </c>
      <c r="D70" s="34">
        <f t="shared" si="2"/>
        <v>2.2868704546593825</v>
      </c>
      <c r="E70" s="208">
        <f>E68-E69</f>
        <v>52235288.5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1402495</v>
      </c>
      <c r="D74" s="103"/>
      <c r="E74" s="262">
        <f>Inputs!E91</f>
        <v>1402495</v>
      </c>
      <c r="F74" s="103"/>
      <c r="H74" s="262">
        <f>Inputs!F91</f>
        <v>1402495</v>
      </c>
      <c r="I74" s="103"/>
      <c r="K74" s="75"/>
    </row>
    <row r="75" spans="1:11" ht="15" customHeight="1" x14ac:dyDescent="0.35">
      <c r="B75" s="105" t="s">
        <v>97</v>
      </c>
      <c r="C75" s="102">
        <f>Data!C8</f>
        <v>669001</v>
      </c>
      <c r="D75" s="106">
        <f>C75/$C$74</f>
        <v>0.47700776116848903</v>
      </c>
      <c r="E75" s="262">
        <f>Inputs!E92</f>
        <v>669001</v>
      </c>
      <c r="F75" s="217">
        <f>E75/E74</f>
        <v>0.47700776116848903</v>
      </c>
      <c r="H75" s="262">
        <f>Inputs!F92</f>
        <v>669001</v>
      </c>
      <c r="I75" s="217">
        <f>H75/$H$74</f>
        <v>0.47700776116848903</v>
      </c>
      <c r="K75" s="75"/>
    </row>
    <row r="76" spans="1:11" ht="15" customHeight="1" x14ac:dyDescent="0.35">
      <c r="B76" s="12" t="s">
        <v>87</v>
      </c>
      <c r="C76" s="150">
        <f>C74-C75</f>
        <v>733494</v>
      </c>
      <c r="D76" s="218"/>
      <c r="E76" s="219">
        <f>E74-E75</f>
        <v>733494</v>
      </c>
      <c r="F76" s="218"/>
      <c r="H76" s="219">
        <f>H74-H75</f>
        <v>733494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220152</v>
      </c>
      <c r="D77" s="106">
        <f>C77/$C$74</f>
        <v>0.15697168260849415</v>
      </c>
      <c r="E77" s="262">
        <f>Inputs!E93</f>
        <v>220152</v>
      </c>
      <c r="F77" s="217">
        <f>E77/E74</f>
        <v>0.15697168260849415</v>
      </c>
      <c r="H77" s="262">
        <f>Inputs!F93</f>
        <v>220152</v>
      </c>
      <c r="I77" s="217">
        <f>H77/$H$74</f>
        <v>0.15697168260849415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513342</v>
      </c>
      <c r="D79" s="223">
        <f>C79/C74</f>
        <v>0.36602055622301682</v>
      </c>
      <c r="E79" s="224">
        <f>E76-E77-E78</f>
        <v>513342</v>
      </c>
      <c r="F79" s="223">
        <f>E79/E74</f>
        <v>0.36602055622301682</v>
      </c>
      <c r="G79" s="225"/>
      <c r="H79" s="224">
        <f>H76-H77-H78</f>
        <v>513342</v>
      </c>
      <c r="I79" s="223">
        <f>H79/H74</f>
        <v>0.36602055622301682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0</v>
      </c>
      <c r="D81" s="106">
        <f>C81/$C$74</f>
        <v>0</v>
      </c>
      <c r="E81" s="220">
        <f>E74*F81</f>
        <v>0</v>
      </c>
      <c r="F81" s="217">
        <f>I81</f>
        <v>0</v>
      </c>
      <c r="H81" s="262">
        <f>Inputs!F94</f>
        <v>0</v>
      </c>
      <c r="I81" s="217">
        <f>H81/$H$74</f>
        <v>0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513342</v>
      </c>
      <c r="D83" s="229">
        <f>C83/$C$74</f>
        <v>0.36602055622301682</v>
      </c>
      <c r="E83" s="230">
        <f>E79-E81-E82-E80</f>
        <v>513342</v>
      </c>
      <c r="F83" s="229">
        <f>E83/E74</f>
        <v>0.36602055622301682</v>
      </c>
      <c r="H83" s="230">
        <f>H79-H81-H82-H80</f>
        <v>513342</v>
      </c>
      <c r="I83" s="229">
        <f>H83/$H$74</f>
        <v>0.36602055622301682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385006.5</v>
      </c>
      <c r="D85" s="223">
        <f>C85/$C$74</f>
        <v>0.27451541716726263</v>
      </c>
      <c r="E85" s="235">
        <f>E83*(1-F84)</f>
        <v>385006.5</v>
      </c>
      <c r="F85" s="223">
        <f>E85/E74</f>
        <v>0.27451541716726263</v>
      </c>
      <c r="G85" s="225"/>
      <c r="H85" s="235">
        <f>H83*(1-I84)</f>
        <v>385006.5</v>
      </c>
      <c r="I85" s="223">
        <f>H85/$H$74</f>
        <v>0.27451541716726263</v>
      </c>
      <c r="K85" s="75"/>
    </row>
    <row r="86" spans="1:11" ht="15" customHeight="1" x14ac:dyDescent="0.35">
      <c r="B86" s="3" t="s">
        <v>145</v>
      </c>
      <c r="C86" s="236">
        <f>C85*Data!C4/Common_Shares</f>
        <v>1.5399583805137493</v>
      </c>
      <c r="D86" s="103"/>
      <c r="E86" s="237">
        <f>E85*Data!C4/Common_Shares</f>
        <v>1.5399583805137493</v>
      </c>
      <c r="F86" s="103"/>
      <c r="H86" s="237">
        <f>H85*Data!C4/Common_Shares</f>
        <v>1.5399583805137493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0.25320922431645537</v>
      </c>
      <c r="D87" s="103"/>
      <c r="E87" s="239">
        <f>E86*Exchange_Rate/Dashboard!G3</f>
        <v>0.25320922431645537</v>
      </c>
      <c r="F87" s="103"/>
      <c r="H87" s="239">
        <f>H86*Exchange_Rate/Dashboard!G3</f>
        <v>0.25320922431645537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0.59699999999999998</v>
      </c>
      <c r="D88" s="241">
        <f>C88/C86</f>
        <v>0.38767281476843118</v>
      </c>
      <c r="E88" s="261">
        <f>Inputs!E98</f>
        <v>0.4</v>
      </c>
      <c r="F88" s="241">
        <f>E88/E86</f>
        <v>0.2597472795768383</v>
      </c>
      <c r="H88" s="261">
        <f>Inputs!F98</f>
        <v>0.4</v>
      </c>
      <c r="I88" s="241">
        <f>H88/H86</f>
        <v>0.2597472795768383</v>
      </c>
      <c r="K88" s="75"/>
    </row>
    <row r="89" spans="1:11" ht="15" customHeight="1" x14ac:dyDescent="0.35">
      <c r="B89" s="3" t="s">
        <v>195</v>
      </c>
      <c r="C89" s="238">
        <f>C88*Exchange_Rate/Dashboard!G3</f>
        <v>9.816233271609133E-2</v>
      </c>
      <c r="D89" s="103"/>
      <c r="E89" s="238">
        <f>E88*Exchange_Rate/Dashboard!G3</f>
        <v>6.5770407179960702E-2</v>
      </c>
      <c r="F89" s="103"/>
      <c r="H89" s="238">
        <f>H88*Exchange_Rate/Dashboard!G3</f>
        <v>6.5770407179960702E-2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66.791740437151773</v>
      </c>
      <c r="H93" s="3" t="s">
        <v>184</v>
      </c>
      <c r="I93" s="243">
        <f>FV(H87,D93,0,-(H86/(C93-D94)))*Exchange_Rate</f>
        <v>66.791740437151773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9.0747373755988789</v>
      </c>
      <c r="H94" s="3" t="s">
        <v>185</v>
      </c>
      <c r="I94" s="243">
        <f>FV(H89,D93,0,-(H88/(C93-D94)))*Exchange_Rate</f>
        <v>9.0747373755988789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9547517.8060018439</v>
      </c>
      <c r="D97" s="250"/>
      <c r="E97" s="251">
        <f>PV(C94,D93,0,-F93)</f>
        <v>38.188394373748977</v>
      </c>
      <c r="F97" s="250"/>
      <c r="H97" s="251">
        <f>PV(C94,D93,0,-I93)</f>
        <v>38.188394373748977</v>
      </c>
      <c r="I97" s="251">
        <f>PV(C93,D93,0,-I93)</f>
        <v>49.003113597017659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-29726854.485791586</v>
      </c>
      <c r="D99" s="254"/>
      <c r="E99" s="255">
        <f>IF(H99&gt;0,I64,H99)</f>
        <v>-118.9021969543566</v>
      </c>
      <c r="F99" s="254"/>
      <c r="H99" s="255">
        <f>I64</f>
        <v>-118.9021969543566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4.4102339652926048</v>
      </c>
      <c r="E103" s="251">
        <f>PV(C94,D93,0,-F94)</f>
        <v>5.1885105474030651</v>
      </c>
      <c r="F103" s="257">
        <f>(E103+H103)/2</f>
        <v>5.1885105474030651</v>
      </c>
      <c r="H103" s="251">
        <f>PV(C94,D93,0,-I94)</f>
        <v>5.1885105474030651</v>
      </c>
      <c r="I103" s="257">
        <f>PV(C93,D93,0,-I94)</f>
        <v>6.6578649331350901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2.2051169826463024</v>
      </c>
      <c r="E106" s="251">
        <f>(E100+E103)/2</f>
        <v>2.5942552737015325</v>
      </c>
      <c r="F106" s="257">
        <f>(F100+F103)/2</f>
        <v>2.5942552737015325</v>
      </c>
      <c r="H106" s="251">
        <f>(H100+H103)/2</f>
        <v>2.5942552737015325</v>
      </c>
      <c r="I106" s="251">
        <f>(I100+I103)/2</f>
        <v>3.328932466567545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