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74AAD0-91E0-4B0E-88B7-8AD6E1C539A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F94" i="4"/>
  <c r="F93" i="4"/>
  <c r="F91" i="4"/>
  <c r="F92" i="4" s="1"/>
  <c r="E91" i="4"/>
  <c r="E93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G2" i="1"/>
  <c r="F96" i="4" l="1"/>
  <c r="E92" i="4"/>
  <c r="F97" i="4"/>
  <c r="E95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G56" i="2" l="1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<sst xmlns="http://schemas.openxmlformats.org/spreadsheetml/2006/main" count="403" uniqueCount="286">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</sst>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1200000000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45169</v>
      </c>
      <c r="D24" s="295">
        <f>EOMONTH(EDATE(C24,-12),0)</f>
        <v>44804</v>
      </c>
      <c r="E24" s="295">
        <f t="shared" ref="E24:M24" si="0">EOMONTH(EDATE(D24,-12),0)</f>
        <v>44439</v>
      </c>
      <c r="F24" s="295">
        <f t="shared" si="0"/>
        <v>44074</v>
      </c>
      <c r="G24" s="295">
        <f t="shared" si="0"/>
        <v>43708</v>
      </c>
      <c r="H24" s="295">
        <f t="shared" si="0"/>
        <v>43343</v>
      </c>
      <c r="I24" s="295">
        <f t="shared" si="0"/>
        <v>42978</v>
      </c>
      <c r="J24" s="295">
        <f t="shared" si="0"/>
        <v>42613</v>
      </c>
      <c r="K24" s="295">
        <f t="shared" si="0"/>
        <v>42247</v>
      </c>
      <c r="L24" s="295">
        <f t="shared" si="0"/>
        <v>41882</v>
      </c>
      <c r="M24" s="295">
        <f t="shared" si="0"/>
        <v>41517</v>
      </c>
    </row>
    <row r="25" spans="2:13" x14ac:dyDescent="0.35">
      <c r="B25" s="79" t="s">
        <v>11</v>
      </c>
      <c r="C25" s="80">
        <v>1497962</v>
      </c>
      <c r="D25" s="80">
        <v>1309197</v>
      </c>
      <c r="E25" s="80">
        <v>1041999</v>
      </c>
      <c r="F25" s="80">
        <v>702493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607907</v>
      </c>
      <c r="D26" s="82">
        <v>482494</v>
      </c>
      <c r="E26" s="82">
        <v>410560</v>
      </c>
      <c r="F26" s="82">
        <v>332916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174378+5109</f>
        <v>179487</v>
      </c>
      <c r="D27" s="82">
        <v>203486</v>
      </c>
      <c r="E27" s="82">
        <v>191402</v>
      </c>
      <c r="F27" s="82">
        <v>142033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124545</v>
      </c>
      <c r="D29" s="82">
        <v>135797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0.0924+0.0907</f>
        <v>0.18309999999999998</v>
      </c>
      <c r="D44" s="86">
        <f>0.053+0.1</f>
        <v>0.153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4.4574012161665157E-2</v>
      </c>
      <c r="D45" s="87">
        <f>IF(D44="","",D44*Exchange_Rate/Dashboard!$G$3)</f>
        <v>3.7246443805214469E-2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382919</v>
      </c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>
        <f>1018629+7</f>
        <v>1018636</v>
      </c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>
        <v>800111</v>
      </c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f>3112520+681371</f>
        <v>3793891</v>
      </c>
      <c r="D68" s="114">
        <f>D65</f>
        <v>0.1</v>
      </c>
      <c r="E68" s="266"/>
    </row>
    <row r="69" spans="2:5" x14ac:dyDescent="0.35">
      <c r="B69" s="9" t="s">
        <v>65</v>
      </c>
      <c r="C69" s="91">
        <v>188000</v>
      </c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436546</v>
      </c>
      <c r="D72" s="116">
        <v>0</v>
      </c>
      <c r="E72" s="268"/>
    </row>
    <row r="73" spans="2:5" x14ac:dyDescent="0.35">
      <c r="B73" s="9" t="s">
        <v>31</v>
      </c>
      <c r="C73" s="91">
        <v>1333523</v>
      </c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2476486</v>
      </c>
    </row>
    <row r="78" spans="2:5" ht="12" thickTop="1" x14ac:dyDescent="0.35">
      <c r="B78" s="9" t="s">
        <v>54</v>
      </c>
      <c r="C78" s="91">
        <v>545657</v>
      </c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546386</v>
      </c>
    </row>
    <row r="83" spans="2:8" ht="12" hidden="1" thickTop="1" x14ac:dyDescent="0.35">
      <c r="B83" s="98" t="s">
        <v>250</v>
      </c>
      <c r="C83" s="84">
        <v>3597231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45169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1497962</v>
      </c>
      <c r="D91" s="103"/>
      <c r="E91" s="104">
        <f>C91</f>
        <v>1497962</v>
      </c>
      <c r="F91" s="104">
        <f>C91</f>
        <v>1497962</v>
      </c>
    </row>
    <row r="92" spans="2:8" x14ac:dyDescent="0.35">
      <c r="B92" s="105" t="s">
        <v>97</v>
      </c>
      <c r="C92" s="102">
        <f>C26</f>
        <v>607907</v>
      </c>
      <c r="D92" s="106">
        <f>C92/C91</f>
        <v>0.40582271112351315</v>
      </c>
      <c r="E92" s="107">
        <f>E91*D92</f>
        <v>607907</v>
      </c>
      <c r="F92" s="107">
        <f>F91*D92</f>
        <v>607907</v>
      </c>
    </row>
    <row r="93" spans="2:8" x14ac:dyDescent="0.35">
      <c r="B93" s="105" t="s">
        <v>218</v>
      </c>
      <c r="C93" s="102">
        <f>C27+C28</f>
        <v>179487</v>
      </c>
      <c r="D93" s="106">
        <f>C93/C91</f>
        <v>0.11982079652220817</v>
      </c>
      <c r="E93" s="107">
        <f>E91*D93</f>
        <v>179487</v>
      </c>
      <c r="F93" s="107">
        <f>F91*D93</f>
        <v>179487</v>
      </c>
    </row>
    <row r="94" spans="2:8" x14ac:dyDescent="0.35">
      <c r="B94" s="105" t="s">
        <v>224</v>
      </c>
      <c r="C94" s="102">
        <f>C29</f>
        <v>124545</v>
      </c>
      <c r="D94" s="106">
        <f>C94/C91</f>
        <v>8.3142963573174758E-2</v>
      </c>
      <c r="E94" s="108"/>
      <c r="F94" s="107">
        <f>F91*D94</f>
        <v>124545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0.18309999999999998</v>
      </c>
      <c r="D98" s="110"/>
      <c r="E98" s="111">
        <f>F98</f>
        <v>0.18309999999999998</v>
      </c>
      <c r="F98" s="111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1969.HK</v>
      </c>
      <c r="D3" s="312"/>
      <c r="E3" s="3"/>
      <c r="F3" s="9" t="s">
        <v>1</v>
      </c>
      <c r="G3" s="10">
        <v>4.37</v>
      </c>
      <c r="H3" s="11" t="s">
        <v>259</v>
      </c>
    </row>
    <row r="4" spans="1:10" ht="15.75" customHeight="1" x14ac:dyDescent="0.35">
      <c r="B4" s="12" t="s">
        <v>170</v>
      </c>
      <c r="C4" s="313" t="str">
        <f>Inputs!C5</f>
        <v>中國春來</v>
      </c>
      <c r="D4" s="314"/>
      <c r="E4" s="3"/>
      <c r="F4" s="9" t="s">
        <v>2</v>
      </c>
      <c r="G4" s="317">
        <f>Inputs!C10</f>
        <v>1200000000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45637</v>
      </c>
      <c r="D5" s="316"/>
      <c r="E5" s="16"/>
      <c r="F5" s="12" t="s">
        <v>91</v>
      </c>
      <c r="G5" s="320">
        <f>G3*G4/1000000</f>
        <v>5244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C0016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240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8.3142963573174758E-2</v>
      </c>
      <c r="F24" s="39" t="s">
        <v>226</v>
      </c>
      <c r="G24" s="43">
        <f>G3/(Fin_Analysis!H86*G7)</f>
        <v>11.215326941560994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0.49991211949019065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4.4574012161665157E-2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225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3.2483160590429501</v>
      </c>
      <c r="D29" s="54">
        <f>G29*(1+G20)</f>
        <v>6.0824099417053814</v>
      </c>
      <c r="E29" s="3"/>
      <c r="F29" s="55">
        <f>IF(Fin_Analysis!C108="Profit",Fin_Analysis!F100,IF(Fin_Analysis!C108="Dividend",Fin_Analysis!F103,Fin_Analysis!F106))</f>
        <v>3.8215483047564121</v>
      </c>
      <c r="G29" s="319">
        <f>IF(Fin_Analysis!C108="Profit",Fin_Analysis!I100,IF(Fin_Analysis!C108="Dividend",Fin_Analysis!I103,Fin_Analysis!I106))</f>
        <v>5.2890521232220715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45169</v>
      </c>
      <c r="E3" s="143" t="s">
        <v>175</v>
      </c>
      <c r="F3" s="144" t="str">
        <f>H14</f>
        <v/>
      </c>
      <c r="G3" s="144">
        <f>C14</f>
        <v>710568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45169</v>
      </c>
      <c r="D5" s="295">
        <f>EOMONTH(EDATE(C5,-12),0)</f>
        <v>44804</v>
      </c>
      <c r="E5" s="295">
        <f t="shared" ref="E5:M5" si="0">EOMONTH(EDATE(D5,-12),0)</f>
        <v>44439</v>
      </c>
      <c r="F5" s="295">
        <f t="shared" si="0"/>
        <v>44074</v>
      </c>
      <c r="G5" s="295">
        <f t="shared" si="0"/>
        <v>43708</v>
      </c>
      <c r="H5" s="295">
        <f t="shared" si="0"/>
        <v>43343</v>
      </c>
      <c r="I5" s="295">
        <f t="shared" si="0"/>
        <v>42978</v>
      </c>
      <c r="J5" s="295">
        <f t="shared" si="0"/>
        <v>42613</v>
      </c>
      <c r="K5" s="295">
        <f t="shared" si="0"/>
        <v>42247</v>
      </c>
      <c r="L5" s="295">
        <f t="shared" si="0"/>
        <v>41882</v>
      </c>
      <c r="M5" s="295">
        <f t="shared" si="0"/>
        <v>41517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1497962</v>
      </c>
      <c r="D6" s="147">
        <f>IF(Inputs!D25="","",Inputs!D25)</f>
        <v>1309197</v>
      </c>
      <c r="E6" s="147">
        <f>IF(Inputs!E25="","",Inputs!E25)</f>
        <v>1041999</v>
      </c>
      <c r="F6" s="147">
        <f>IF(Inputs!F25="","",Inputs!F25)</f>
        <v>702493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0.1441838012155543</v>
      </c>
      <c r="D7" s="148">
        <f t="shared" si="1"/>
        <v>0.25642826912501837</v>
      </c>
      <c r="E7" s="148">
        <f t="shared" si="1"/>
        <v>0.48328737795252041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607907</v>
      </c>
      <c r="D8" s="149">
        <f>IF(Inputs!D26="","",Inputs!D26)</f>
        <v>482494</v>
      </c>
      <c r="E8" s="149">
        <f>IF(Inputs!E26="","",Inputs!E26)</f>
        <v>410560</v>
      </c>
      <c r="F8" s="149">
        <f>IF(Inputs!F26="","",Inputs!F26)</f>
        <v>332916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890055</v>
      </c>
      <c r="D9" s="279">
        <f t="shared" si="2"/>
        <v>826703</v>
      </c>
      <c r="E9" s="279">
        <f t="shared" si="2"/>
        <v>631439</v>
      </c>
      <c r="F9" s="279">
        <f t="shared" si="2"/>
        <v>369577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179487</v>
      </c>
      <c r="D10" s="149">
        <f>IF(Inputs!D27="","",Inputs!D27)</f>
        <v>203486</v>
      </c>
      <c r="E10" s="149">
        <f>IF(Inputs!E27="","",Inputs!E27)</f>
        <v>191402</v>
      </c>
      <c r="F10" s="149">
        <f>IF(Inputs!F27="","",Inputs!F27)</f>
        <v>142033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0.47435649235427868</v>
      </c>
      <c r="D13" s="300">
        <f t="shared" si="3"/>
        <v>0.47602996340504905</v>
      </c>
      <c r="E13" s="300">
        <f t="shared" si="3"/>
        <v>0.4223007891562276</v>
      </c>
      <c r="F13" s="300">
        <f t="shared" si="3"/>
        <v>0.32390927738781738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710568</v>
      </c>
      <c r="D14" s="302">
        <f t="shared" ref="D14:M14" si="4">IF(D6="","",D9-D10-MAX(D11,0)-MAX(D12,0))</f>
        <v>623217</v>
      </c>
      <c r="E14" s="302">
        <f t="shared" si="4"/>
        <v>440037</v>
      </c>
      <c r="F14" s="302">
        <f t="shared" si="4"/>
        <v>227544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0.14016145259195434</v>
      </c>
      <c r="D15" s="304">
        <f t="shared" ref="D15:M15" si="5">IF(E14="","",IF(ABS(D14+E14)=ABS(D14)+ABS(E14),IF(D14&lt;0,-1,1)*(D14-E14)/E14,"Turn"))</f>
        <v>0.41628317618745697</v>
      </c>
      <c r="E15" s="304">
        <f t="shared" si="5"/>
        <v>0.93385455120767846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124545</v>
      </c>
      <c r="D17" s="149">
        <f>IF(Inputs!D29="","",Inputs!D29)</f>
        <v>135797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586023</v>
      </c>
      <c r="D22" s="283">
        <f t="shared" ref="D22:M22" si="8">IF(D6="","",D14-MAX(D16,0)-MAX(D17,0)-ABS(MAX(D21,0)-MAX(D19,0)))</f>
        <v>487420</v>
      </c>
      <c r="E22" s="283">
        <f t="shared" si="8"/>
        <v>440037</v>
      </c>
      <c r="F22" s="283">
        <f t="shared" si="8"/>
        <v>227544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0.29341014658582792</v>
      </c>
      <c r="D23" s="148">
        <f t="shared" si="9"/>
        <v>0.27922841253073449</v>
      </c>
      <c r="E23" s="148">
        <f t="shared" si="9"/>
        <v>0.3167255918671707</v>
      </c>
      <c r="F23" s="148">
        <f t="shared" si="9"/>
        <v>0.24293195804086304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439517.25</v>
      </c>
      <c r="D24" s="282">
        <f>IF(D6="","",D22*(1-Fin_Analysis!$I$84))</f>
        <v>365565</v>
      </c>
      <c r="E24" s="282">
        <f>IF(E6="","",E22*(1-Fin_Analysis!$I$84))</f>
        <v>330027.75</v>
      </c>
      <c r="F24" s="282">
        <f>IF(F6="","",F22*(1-Fin_Analysis!$I$84))</f>
        <v>170658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0.20229576135570965</v>
      </c>
      <c r="D25" s="152">
        <f t="shared" ref="D25:M25" si="10">IF(E24="","",IF(ABS(D24+E24)=ABS(D24)+ABS(E24),IF(D24&lt;0,-1,1)*(D24-E24)/E24,"Turn"))</f>
        <v>0.10767958148973836</v>
      </c>
      <c r="E25" s="152">
        <f t="shared" si="10"/>
        <v>0.93385455120767846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44804</v>
      </c>
      <c r="E26" s="78">
        <f t="shared" ref="E26" si="11">EOMONTH(EDATE(D26,-12),0)</f>
        <v>44439</v>
      </c>
      <c r="F26" s="78">
        <f t="shared" ref="F26" si="12">EOMONTH(EDATE(E26,-12),0)</f>
        <v>44074</v>
      </c>
      <c r="G26" s="78">
        <f t="shared" ref="G26" si="13">EOMONTH(EDATE(F26,-12),0)</f>
        <v>43708</v>
      </c>
      <c r="H26" s="78">
        <f t="shared" ref="H26" si="14">EOMONTH(EDATE(G26,-12),0)</f>
        <v>43343</v>
      </c>
      <c r="I26" s="78">
        <f t="shared" ref="I26" si="15">EOMONTH(EDATE(H26,-12),0)</f>
        <v>42978</v>
      </c>
      <c r="J26" s="78">
        <f t="shared" ref="J26" si="16">EOMONTH(EDATE(I26,-12),0)</f>
        <v>42613</v>
      </c>
      <c r="K26" s="78">
        <f t="shared" ref="K26" si="17">EOMONTH(EDATE(J26,-12),0)</f>
        <v>42247</v>
      </c>
      <c r="L26" s="78">
        <f t="shared" ref="L26" si="18">EOMONTH(EDATE(K26,-12),0)</f>
        <v>41882</v>
      </c>
      <c r="M26" s="78">
        <f t="shared" ref="M26" si="19">EOMONTH(EDATE(L26,-12),0)</f>
        <v>41517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1018636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1333523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545657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1879180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-382919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0.40582271112351315</v>
      </c>
      <c r="D40" s="156">
        <f t="shared" si="34"/>
        <v>0.36854193830263893</v>
      </c>
      <c r="E40" s="156">
        <f t="shared" si="34"/>
        <v>0.39401189444519619</v>
      </c>
      <c r="F40" s="156">
        <f t="shared" si="34"/>
        <v>0.47390650155944614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0.11982079652220817</v>
      </c>
      <c r="D41" s="151">
        <f t="shared" si="35"/>
        <v>0.15542809829231199</v>
      </c>
      <c r="E41" s="151">
        <f t="shared" si="35"/>
        <v>0.18368731639857619</v>
      </c>
      <c r="F41" s="151">
        <f t="shared" si="35"/>
        <v>0.20218422105273648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8.3142963573174758E-2</v>
      </c>
      <c r="D43" s="151">
        <f t="shared" si="37"/>
        <v>0.10372541336406974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0.39121352878110394</v>
      </c>
      <c r="D46" s="289">
        <f t="shared" si="40"/>
        <v>0.37230455004097934</v>
      </c>
      <c r="E46" s="289">
        <f t="shared" si="40"/>
        <v>0.4223007891562276</v>
      </c>
      <c r="F46" s="289">
        <f t="shared" si="40"/>
        <v>0.32390927738781738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0.68001457980910063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0.3118503815493992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0.21252578823698046</v>
      </c>
      <c r="D55" s="151">
        <f t="shared" si="47"/>
        <v>0.27860366829428418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1664642.2</v>
      </c>
      <c r="E6" s="176" t="e">
        <f>1-D6/D3</f>
        <v>#DIV/0!</v>
      </c>
      <c r="F6" s="3"/>
      <c r="G6" s="3"/>
      <c r="H6" s="2" t="s">
        <v>24</v>
      </c>
      <c r="I6" s="174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1.4757557158542871</v>
      </c>
      <c r="E7" s="173" t="str">
        <f>Dashboard!H3</f>
        <v>HKD</v>
      </c>
      <c r="H7" s="2" t="s">
        <v>25</v>
      </c>
      <c r="I7" s="174">
        <f>C24/I28</f>
        <v>0.5659450527885076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382919</v>
      </c>
      <c r="D11" s="264">
        <f>Inputs!D48</f>
        <v>0.9</v>
      </c>
      <c r="E11" s="182">
        <f t="shared" ref="E11:E22" si="0">C11*D11</f>
        <v>344627.10000000003</v>
      </c>
      <c r="F11" s="266"/>
      <c r="G11" s="3"/>
      <c r="H11" s="9" t="s">
        <v>31</v>
      </c>
      <c r="I11" s="181">
        <f>Inputs!C73</f>
        <v>1333523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1018636</v>
      </c>
      <c r="D13" s="264">
        <f>Inputs!D50</f>
        <v>0.6</v>
      </c>
      <c r="E13" s="182">
        <f t="shared" si="0"/>
        <v>611181.6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1333523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1142963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1401555</v>
      </c>
      <c r="D24" s="191">
        <f>IF(E24=0,0,E24/C24)</f>
        <v>0.68196303391590052</v>
      </c>
      <c r="E24" s="182">
        <f>SUM(E11:E14)</f>
        <v>955808.7</v>
      </c>
      <c r="F24" s="192">
        <f>E24/$E$28</f>
        <v>1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>
        <f>E25/$E$28</f>
        <v>0</v>
      </c>
      <c r="G25" s="3"/>
      <c r="H25" s="189" t="s">
        <v>48</v>
      </c>
      <c r="I25" s="174">
        <f>E28/I28</f>
        <v>0.38595360522934513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0.71675456666289217</v>
      </c>
      <c r="J26" s="193" t="str">
        <f>IF(I26&lt;1,"Liquidity Problem!","")</f>
        <v>Liquidity Problem!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0.38595360522934513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1401555</v>
      </c>
      <c r="D28" s="196">
        <f>E28/C28</f>
        <v>0.68196303391590052</v>
      </c>
      <c r="E28" s="197">
        <f>SUM(E24:E27)</f>
        <v>955808.7</v>
      </c>
      <c r="F28" s="92"/>
      <c r="G28" s="3"/>
      <c r="H28" s="194" t="s">
        <v>15</v>
      </c>
      <c r="I28" s="167">
        <f>Inputs!C77</f>
        <v>2476486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545657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800111</v>
      </c>
      <c r="D34" s="264">
        <f>Inputs!D64</f>
        <v>0.4</v>
      </c>
      <c r="E34" s="182">
        <f t="shared" si="1"/>
        <v>320044.40000000002</v>
      </c>
      <c r="F34" s="266"/>
      <c r="G34" s="3"/>
      <c r="H34" s="2" t="s">
        <v>70</v>
      </c>
      <c r="I34" s="186">
        <f>SUM(I30:I33)</f>
        <v>545657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3793891</v>
      </c>
      <c r="D38" s="264">
        <f>Inputs!D68</f>
        <v>0.1</v>
      </c>
      <c r="E38" s="182">
        <f t="shared" si="1"/>
        <v>379389.10000000003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188000</v>
      </c>
      <c r="D39" s="264">
        <f>Inputs!D69</f>
        <v>0.05</v>
      </c>
      <c r="E39" s="182">
        <f t="shared" si="1"/>
        <v>9400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436546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800111</v>
      </c>
      <c r="D45" s="191">
        <f>IF(E45=0,0,E45/C45)</f>
        <v>0.4</v>
      </c>
      <c r="E45" s="182">
        <f>SUM(E32:E35)</f>
        <v>320044.40000000002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3981891</v>
      </c>
      <c r="D46" s="191">
        <f>IF(E46=0,0,E46/C46)</f>
        <v>9.7639312577868162E-2</v>
      </c>
      <c r="E46" s="182">
        <f>E36+E37+E38+E39</f>
        <v>388789.10000000003</v>
      </c>
      <c r="F46" s="3"/>
      <c r="G46" s="3"/>
      <c r="H46" s="189" t="s">
        <v>73</v>
      </c>
      <c r="I46" s="174">
        <f>(E44+E24)/E64</f>
        <v>0.50863073255356062</v>
      </c>
      <c r="J46" s="193" t="str">
        <f>IF(I46&lt;1,"Liquidity Problem!","")</f>
        <v>Liquidity Problem!</v>
      </c>
    </row>
    <row r="47" spans="2:10" ht="15" customHeight="1" x14ac:dyDescent="0.35">
      <c r="B47" s="189" t="s">
        <v>74</v>
      </c>
      <c r="C47" s="190">
        <f>C40+C41+C42</f>
        <v>436546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5218548</v>
      </c>
      <c r="D48" s="201">
        <f>E48/C48</f>
        <v>0.13582964073531564</v>
      </c>
      <c r="E48" s="202">
        <f>SUM(E30:E42)</f>
        <v>708833.5</v>
      </c>
      <c r="F48" s="3"/>
      <c r="G48" s="3"/>
      <c r="H48" s="96" t="s">
        <v>77</v>
      </c>
      <c r="I48" s="203">
        <f>I49-I28</f>
        <v>-2476486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1664642.2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1879180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-1.3604276122855543</v>
      </c>
      <c r="K61" s="178"/>
    </row>
    <row r="62" spans="2:11" ht="11.65" x14ac:dyDescent="0.35">
      <c r="B62" s="12" t="s">
        <v>129</v>
      </c>
      <c r="C62" s="210">
        <f>C11+C30</f>
        <v>382919</v>
      </c>
      <c r="D62" s="211">
        <f t="shared" si="2"/>
        <v>0.90000000000000013</v>
      </c>
      <c r="E62" s="212">
        <f>E11+E30</f>
        <v>344627.10000000003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382919</v>
      </c>
      <c r="D63" s="34">
        <f t="shared" si="2"/>
        <v>0.90000000000000013</v>
      </c>
      <c r="E63" s="190">
        <f>E61+E62</f>
        <v>344627.10000000003</v>
      </c>
      <c r="F63" s="3"/>
      <c r="G63" s="3"/>
      <c r="H63" s="2" t="s">
        <v>257</v>
      </c>
      <c r="I63" s="213">
        <f>IF(I61&gt;0,FV(I62,D93,0,-I61),I61)</f>
        <v>-1.3604276122855543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1879180</v>
      </c>
      <c r="F64" s="3"/>
      <c r="G64" s="3"/>
      <c r="H64" s="2" t="s">
        <v>258</v>
      </c>
      <c r="I64" s="213">
        <f>IF(I61&gt;0,PV(C94,D93,0,-I63),I61)</f>
        <v>-1.3604276122855543</v>
      </c>
      <c r="K64" s="178"/>
    </row>
    <row r="65" spans="1:11" ht="12" thickTop="1" x14ac:dyDescent="0.35">
      <c r="B65" s="9" t="s">
        <v>132</v>
      </c>
      <c r="C65" s="208">
        <f>C63-E64</f>
        <v>-1496261</v>
      </c>
      <c r="D65" s="34">
        <f t="shared" si="2"/>
        <v>1.0255917249731163</v>
      </c>
      <c r="E65" s="190">
        <f>E63-E64</f>
        <v>-1534552.9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-382919</v>
      </c>
      <c r="D68" s="34">
        <f t="shared" si="2"/>
        <v>-3.4472436729438858</v>
      </c>
      <c r="E68" s="208">
        <f>E49-E63</f>
        <v>1320015.0999999999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-1879180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1496261</v>
      </c>
      <c r="D70" s="34">
        <f t="shared" si="2"/>
        <v>2.138126369664116</v>
      </c>
      <c r="E70" s="208">
        <f>E68-E69</f>
        <v>3199195.0999999996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45169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1497962</v>
      </c>
      <c r="D74" s="103"/>
      <c r="E74" s="262">
        <f>Inputs!E91</f>
        <v>1497962</v>
      </c>
      <c r="F74" s="103"/>
      <c r="H74" s="262">
        <f>Inputs!F91</f>
        <v>1497962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607907</v>
      </c>
      <c r="D75" s="106">
        <f>C75/$C$74</f>
        <v>0.40582271112351315</v>
      </c>
      <c r="E75" s="262">
        <f>Inputs!E92</f>
        <v>607907</v>
      </c>
      <c r="F75" s="217">
        <f>E75/E74</f>
        <v>0.40582271112351315</v>
      </c>
      <c r="H75" s="262">
        <f>Inputs!F92</f>
        <v>607907</v>
      </c>
      <c r="I75" s="217">
        <f>H75/$H$74</f>
        <v>0.40582271112351315</v>
      </c>
      <c r="K75" s="75"/>
    </row>
    <row r="76" spans="1:11" ht="15" customHeight="1" x14ac:dyDescent="0.35">
      <c r="B76" s="12" t="s">
        <v>87</v>
      </c>
      <c r="C76" s="150">
        <f>C74-C75</f>
        <v>890055</v>
      </c>
      <c r="D76" s="218"/>
      <c r="E76" s="219">
        <f>E74-E75</f>
        <v>890055</v>
      </c>
      <c r="F76" s="218"/>
      <c r="H76" s="219">
        <f>H74-H75</f>
        <v>890055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179487</v>
      </c>
      <c r="D77" s="106">
        <f>C77/$C$74</f>
        <v>0.11982079652220817</v>
      </c>
      <c r="E77" s="262">
        <f>Inputs!E93</f>
        <v>179487</v>
      </c>
      <c r="F77" s="217">
        <f>E77/E74</f>
        <v>0.11982079652220817</v>
      </c>
      <c r="H77" s="262">
        <f>Inputs!F93</f>
        <v>179487</v>
      </c>
      <c r="I77" s="217">
        <f>H77/$H$74</f>
        <v>0.11982079652220817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710568</v>
      </c>
      <c r="D79" s="223">
        <f>C79/C74</f>
        <v>0.47435649235427868</v>
      </c>
      <c r="E79" s="224">
        <f>E76-E77-E78</f>
        <v>710568</v>
      </c>
      <c r="F79" s="223">
        <f>E79/E74</f>
        <v>0.47435649235427868</v>
      </c>
      <c r="G79" s="225"/>
      <c r="H79" s="224">
        <f>H76-H77-H78</f>
        <v>710568</v>
      </c>
      <c r="I79" s="223">
        <f>H79/H74</f>
        <v>0.47435649235427868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124545</v>
      </c>
      <c r="D81" s="106">
        <f>C81/$C$74</f>
        <v>8.3142963573174758E-2</v>
      </c>
      <c r="E81" s="220">
        <f>E74*F81</f>
        <v>124545</v>
      </c>
      <c r="F81" s="217">
        <f>I81</f>
        <v>8.3142963573174758E-2</v>
      </c>
      <c r="H81" s="262">
        <f>Inputs!F94</f>
        <v>124545</v>
      </c>
      <c r="I81" s="217">
        <f>H81/$H$74</f>
        <v>8.3142963573174758E-2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586023</v>
      </c>
      <c r="D83" s="229">
        <f>C83/$C$74</f>
        <v>0.39121352878110394</v>
      </c>
      <c r="E83" s="230">
        <f>E79-E81-E82-E80</f>
        <v>586023</v>
      </c>
      <c r="F83" s="229">
        <f>E83/E74</f>
        <v>0.39121352878110394</v>
      </c>
      <c r="H83" s="230">
        <f>H79-H81-H82-H80</f>
        <v>586023</v>
      </c>
      <c r="I83" s="229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439517.25</v>
      </c>
      <c r="D85" s="223">
        <f>C85/$C$74</f>
        <v>0.29341014658582792</v>
      </c>
      <c r="E85" s="235">
        <f>E83*(1-F84)</f>
        <v>439517.25</v>
      </c>
      <c r="F85" s="223">
        <f>E85/E74</f>
        <v>0.29341014658582792</v>
      </c>
      <c r="G85" s="225"/>
      <c r="H85" s="235">
        <f>H83*(1-I84)</f>
        <v>439517.25</v>
      </c>
      <c r="I85" s="223">
        <f>H85/$H$74</f>
        <v>0.29341014658582792</v>
      </c>
      <c r="K85" s="75"/>
    </row>
    <row r="86" spans="1:11" ht="15" customHeight="1" x14ac:dyDescent="0.35">
      <c r="B86" s="3" t="s">
        <v>145</v>
      </c>
      <c r="C86" s="236">
        <f>C85*Data!C4/Common_Shares</f>
        <v>0.36626437499999998</v>
      </c>
      <c r="D86" s="103"/>
      <c r="E86" s="237">
        <f>E85*Data!C4/Common_Shares</f>
        <v>0.36626437499999998</v>
      </c>
      <c r="F86" s="103"/>
      <c r="H86" s="237">
        <f>H85*Data!C4/Common_Shares</f>
        <v>0.36626437499999998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8.9163695825421566E-2</v>
      </c>
      <c r="D87" s="103"/>
      <c r="E87" s="239">
        <f>E86*Exchange_Rate/Dashboard!G3</f>
        <v>8.9163695825421566E-2</v>
      </c>
      <c r="F87" s="103"/>
      <c r="H87" s="239">
        <f>H86*Exchange_Rate/Dashboard!G3</f>
        <v>8.9163695825421566E-2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0.18309999999999998</v>
      </c>
      <c r="D88" s="241">
        <f>C88/C86</f>
        <v>0.49991211949019065</v>
      </c>
      <c r="E88" s="261">
        <f>Inputs!E98</f>
        <v>0.18309999999999998</v>
      </c>
      <c r="F88" s="241">
        <f>E88/E86</f>
        <v>0.49991211949019065</v>
      </c>
      <c r="H88" s="261">
        <f>Inputs!F98</f>
        <v>0.18309999999999998</v>
      </c>
      <c r="I88" s="241">
        <f>H88/H86</f>
        <v>0.49991211949019065</v>
      </c>
      <c r="K88" s="75"/>
    </row>
    <row r="89" spans="1:11" ht="15" customHeight="1" x14ac:dyDescent="0.35">
      <c r="B89" s="3" t="s">
        <v>195</v>
      </c>
      <c r="C89" s="238">
        <f>C88*Exchange_Rate/Dashboard!G3</f>
        <v>4.4574012161665157E-2</v>
      </c>
      <c r="D89" s="103"/>
      <c r="E89" s="238">
        <f>E88*Exchange_Rate/Dashboard!G3</f>
        <v>4.4574012161665157E-2</v>
      </c>
      <c r="F89" s="103"/>
      <c r="H89" s="238">
        <f>H88*Exchange_Rate/Dashboard!G3</f>
        <v>4.4574012161665157E-2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9.063308266255877</v>
      </c>
      <c r="H93" s="3" t="s">
        <v>184</v>
      </c>
      <c r="I93" s="243">
        <f>FV(H87,D93,0,-(H86/(C93-D94)))*Exchange_Rate</f>
        <v>9.063308266255877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3.8332280460746309</v>
      </c>
      <c r="H94" s="3" t="s">
        <v>185</v>
      </c>
      <c r="I94" s="243">
        <f>FV(H89,D93,0,-(H88/(C93-D94)))*Exchange_Rate</f>
        <v>3.8332280460746309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6218371.1004503593</v>
      </c>
      <c r="D97" s="250"/>
      <c r="E97" s="251">
        <f>PV(C94,D93,0,-F93)</f>
        <v>5.1819759170419664</v>
      </c>
      <c r="F97" s="250"/>
      <c r="H97" s="251">
        <f>PV(C94,D93,0,-I93)</f>
        <v>5.1819759170419664</v>
      </c>
      <c r="I97" s="251">
        <f>PV(C93,D93,0,-I93)</f>
        <v>6.6494797355076258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-1632513.1347426651</v>
      </c>
      <c r="D99" s="254"/>
      <c r="E99" s="255">
        <f>IF(H99&gt;0,I64,H99)</f>
        <v>-1.3604276122855543</v>
      </c>
      <c r="F99" s="254"/>
      <c r="H99" s="255">
        <f>I64</f>
        <v>-1.3604276122855543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3.2483160590429501</v>
      </c>
      <c r="E100" s="257">
        <f>MAX(E97+H98+E99,0)</f>
        <v>3.8215483047564121</v>
      </c>
      <c r="F100" s="257">
        <f>(E100+H100)/2</f>
        <v>3.8215483047564121</v>
      </c>
      <c r="H100" s="257">
        <f>MAX(H97+H98+H99,0)</f>
        <v>3.8215483047564121</v>
      </c>
      <c r="I100" s="257">
        <f>MAX(I97+H98+H99,0)</f>
        <v>5.2890521232220715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1.8629114899752</v>
      </c>
      <c r="E103" s="251">
        <f>PV(C94,D93,0,-F94)</f>
        <v>2.1916605764414117</v>
      </c>
      <c r="F103" s="257">
        <f>(E103+H103)/2</f>
        <v>2.1916605764414117</v>
      </c>
      <c r="H103" s="251">
        <f>PV(C94,D93,0,-I94)</f>
        <v>2.1916605764414117</v>
      </c>
      <c r="I103" s="257">
        <f>PV(C93,D93,0,-I94)</f>
        <v>2.8123254186169748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2.5556137745090748</v>
      </c>
      <c r="E106" s="251">
        <f>(E100+E103)/2</f>
        <v>3.0066044405989119</v>
      </c>
      <c r="F106" s="257">
        <f>(F100+F103)/2</f>
        <v>3.0066044405989119</v>
      </c>
      <c r="H106" s="251">
        <f>(H100+H103)/2</f>
        <v>3.0066044405989119</v>
      </c>
      <c r="I106" s="251">
        <f>(I100+I103)/2</f>
        <v>4.050688770919523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