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91E9368-FDB1-444B-A7B0-0D45B8FD8EA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G2" i="1"/>
  <c r="F96" i="4" l="1"/>
  <c r="F95" i="4"/>
  <c r="E92" i="4"/>
  <c r="F97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<sst xmlns="http://schemas.openxmlformats.org/spreadsheetml/2006/main" count="403" uniqueCount="287">
  <si>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</si>
  <si>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</si>
  <si>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</si>
  <si>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</si>
  <si>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</si>
  <si>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</si>
  <si>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</si>
  <si>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</si>
  <si>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</si>
  <si>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</si>
  <si>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</si>
  <si>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</si>
  <si>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</si>
  <si>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</si>
  <si>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</si>
  <si>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</si>
  <si>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</si>
  <si>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</si>
  <si>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</si>
  <si>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</si>
  <si>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</si>
  <si>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</si>
  <si>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</si>
  <si>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</si>
  <si>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</si>
  <si>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</si>
  <si>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</si>
  <si>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</si>
  <si>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</si>
  <si>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</si>
  <si>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</si>
  <si>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</si>
  <si>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</si>
  <si>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</si>
  <si>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</si>
  <si>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</si>
  <si>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</si>
  <si>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</si>
  <si>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</si>
  <si>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</si>
  <si>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</si>
  <si>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</si>
  <si>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</si>
  <si>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</si>
  <si>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</si>
  <si>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</si>
  <si>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</si>
  <si>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</si>
  <si>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</si>
  <si>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</si>
  <si>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</si>
  <si>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</si>
  <si>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</si>
  <si>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</si>
  <si>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</si>
  <si>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</si>
  <si>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</si>
  <si>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</si>
  <si>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</si>
  <si>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</si>
  <si>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</si>
  <si>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</si>
  <si>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</si>
  <si>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</si>
  <si>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</si>
  <si>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</si>
  <si>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</si>
  <si>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</si>
  <si>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</si>
  <si>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</si>
  <si>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</si>
  <si>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</si>
  <si>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</si>
  <si>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</si>
  <si>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</si>
  <si>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</si>
  <si>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</si>
  <si>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</si>
  <si>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</si>
  <si>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</si>
  <si>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</si>
  <si>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</si>
  <si>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</si>
  <si>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</si>
  <si>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</si>
  <si>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</si>
  <si>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</si>
  <si>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</si>
  <si>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</si>
  <si>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</si>
  <si>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</si>
  <si>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</si>
  <si>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</si>
  <si>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</si>
  <si>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</si>
  <si>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</si>
  <si>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</si>
  <si>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</si>
  <si>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</si>
  <si>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</si>
  <si>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</si>
  <si>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</si>
  <si>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</si>
  <si>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</si>
  <si>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</si>
  <si>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</si>
  <si>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</si>
  <si>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</si>
  <si>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</si>
  <si>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</si>
  <si>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</si>
  <si>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</si>
  <si>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</si>
  <si>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</si>
  <si>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</si>
  <si>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</si>
  <si>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</si>
  <si>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</si>
  <si>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</si>
  <si>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</si>
  <si>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</si>
  <si>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</si>
  <si>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</si>
  <si>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</si>
  <si>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</si>
  <si>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</si>
  <si>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</si>
  <si>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</si>
  <si>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</si>
  <si>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</si>
  <si>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</si>
  <si>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</si>
  <si>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</si>
  <si>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</si>
  <si>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</si>
  <si>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</si>
  <si>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</si>
  <si>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</si>
  <si>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</si>
  <si>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</si>
  <si>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</si>
  <si>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</si>
  <si>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</si>
  <si>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</si>
  <si>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</si>
  <si>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</si>
  <si>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</si>
  <si>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</si>
  <si>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</si>
  <si>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</si>
  <si>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</si>
  <si>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</si>
  <si>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</si>
  <si>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</si>
  <si>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</si>
  <si>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</si>
  <si>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</si>
  <si>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</si>
  <si>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</si>
  <si>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</si>
  <si>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</si>
  <si>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</si>
  <si>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</si>
  <si>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</si>
  <si>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</si>
  <si>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</si>
  <si>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</si>
  <si>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</si>
  <si>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</si>
  <si>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</si>
  <si>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</si>
  <si>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</si>
  <si>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</si>
  <si>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</si>
  <si>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</si>
  <si>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</si>
  <si>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</si>
  <si>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</si>
  <si>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</si>
  <si>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</si>
  <si>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</si>
  <si>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</si>
  <si>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</si>
  <si>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</si>
  <si>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</si>
  <si>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</si>
  <si>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</si>
  <si>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</si>
  <si>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</si>
  <si>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</si>
  <si>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</si>
  <si>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</si>
  <si>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</si>
  <si>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</si>
  <si>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</si>
  <si>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</si>
  <si>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</si>
  <si>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</si>
  <si>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</si>
  <si>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</si>
  <si>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</si>
  <si>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</si>
  <si>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</si>
  <si>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</si>
  <si>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</si>
  <si>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</si>
  <si>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</si>
  <si>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</si>
  <si>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</si>
  <si>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</si>
  <si>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</si>
  <si>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</si>
  <si>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</si>
  <si>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</si>
  <si>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</si>
  <si>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</si>
  <si>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</si>
  <si>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</si>
  <si>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</si>
  <si>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</si>
  <si>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</si>
  <si>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</si>
  <si>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</si>
  <si>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</si>
  <si>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</si>
  <si>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</si>
  <si>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</si>
  <si>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</si>
  <si>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</si>
  <si>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</si>
  <si>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</si>
  <si>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</si>
  <si>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</si>
  <si>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</si>
  <si>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</si>
  <si>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</si>
  <si>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</si>
  <si>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</si>
  <si>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</si>
  <si>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</si>
  <si>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</si>
  <si>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</si>
  <si>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</si>
  <si>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</si>
  <si>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</si>
  <si>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</si>
  <si>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</si>
  <si>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</si>
  <si>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</si>
  <si>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</si>
  <si>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</si>
  <si>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</si>
  <si>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</si>
  <si>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</si>
  <si>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</si>
  <si>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</si>
  <si>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</si>
  <si>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</si>
  <si>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</si>
  <si>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</si>
  <si>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</si>
  <si>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</si>
  <si>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</si>
  <si>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</si>
  <si>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</si>
  <si>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</si>
  <si>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</si>
  <si>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</si>
  <si>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</si>
  <si>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</si>
  <si>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</si>
  <si>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</si>
  <si>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</si>
  <si>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</si>
  <si>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</si>
  <si>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</si>
  <si>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</si>
  <si>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</si>
  <si>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</si>
  <si>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</si>
  <si>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</si>
  <si>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PDD</t>
  </si>
  <si>
    <t>拼多多</t>
  </si>
  <si>
    <t xml:space="preserve">Superior Cycl. </t>
  </si>
  <si>
    <t>C0009</t>
  </si>
  <si>
    <t>CNY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</si>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</sst>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270</v>
      </c>
      <c r="C6" s="68">
        <v>45643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1388770048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247639205</v>
      </c>
      <c r="D25" s="80">
        <v>130557589</v>
      </c>
      <c r="E25" s="80">
        <v>93949939</v>
      </c>
      <c r="F25" s="80">
        <v>59491865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91723577</v>
      </c>
      <c r="D26" s="82">
        <v>31462298</v>
      </c>
      <c r="E26" s="82">
        <v>31718093</v>
      </c>
      <c r="F26" s="82">
        <v>19278641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86264492</v>
      </c>
      <c r="D27" s="82">
        <v>58308654</v>
      </c>
      <c r="E27" s="82">
        <v>46342494</v>
      </c>
      <c r="F27" s="82">
        <v>42701896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10952374</v>
      </c>
      <c r="D28" s="82">
        <v>10384716</v>
      </c>
      <c r="E28" s="82">
        <v>8992590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43987</v>
      </c>
      <c r="D29" s="82">
        <v>51655</v>
      </c>
      <c r="E29" s="82">
        <v>1231002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160836513</v>
      </c>
      <c r="D37" s="82">
        <v>119349042</v>
      </c>
      <c r="E37" s="82">
        <v>106095171</v>
      </c>
      <c r="F37" s="82">
        <v>98732726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187241607</v>
      </c>
      <c r="D41" s="82">
        <v>117770911</v>
      </c>
      <c r="E41" s="82">
        <v>75114547</v>
      </c>
      <c r="F41" s="82">
        <v>60175888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0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0.03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247639205</v>
      </c>
      <c r="D91" s="103"/>
      <c r="E91" s="104">
        <f>C91</f>
        <v>247639205</v>
      </c>
      <c r="F91" s="104">
        <f>C91</f>
        <v>247639205</v>
      </c>
    </row>
    <row r="92" spans="2:8" x14ac:dyDescent="0.35">
      <c r="B92" s="105" t="s">
        <v>97</v>
      </c>
      <c r="C92" s="102">
        <f>C26</f>
        <v>91723577</v>
      </c>
      <c r="D92" s="106">
        <f>C92/C91</f>
        <v>0.37039198619620833</v>
      </c>
      <c r="E92" s="107">
        <f>E91*D92</f>
        <v>91723577</v>
      </c>
      <c r="F92" s="107">
        <f>F91*D92</f>
        <v>91723577</v>
      </c>
    </row>
    <row r="93" spans="2:8" x14ac:dyDescent="0.35">
      <c r="B93" s="105" t="s">
        <v>218</v>
      </c>
      <c r="C93" s="102">
        <f>C27+C28</f>
        <v>97216866</v>
      </c>
      <c r="D93" s="106">
        <f>C93/C91</f>
        <v>0.39257461676958622</v>
      </c>
      <c r="E93" s="107">
        <f>E91*D93</f>
        <v>97216866</v>
      </c>
      <c r="F93" s="107">
        <f>F91*D93</f>
        <v>97216866</v>
      </c>
    </row>
    <row r="94" spans="2:8" x14ac:dyDescent="0.35">
      <c r="B94" s="105" t="s">
        <v>224</v>
      </c>
      <c r="C94" s="102">
        <f>C29</f>
        <v>43987</v>
      </c>
      <c r="D94" s="106">
        <f>C94/C91</f>
        <v>1.7762534813500148E-4</v>
      </c>
      <c r="E94" s="108"/>
      <c r="F94" s="107">
        <f>F91*D94</f>
        <v>43987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PDD : 拼多多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PDD</v>
      </c>
      <c r="D3" s="312"/>
      <c r="E3" s="3"/>
      <c r="F3" s="9" t="s">
        <v>1</v>
      </c>
      <c r="G3" s="10">
        <v>98.87</v>
      </c>
      <c r="H3" s="11" t="s">
        <v>286</v>
      </c>
    </row>
    <row r="4" spans="1:10" ht="15.75" customHeight="1" x14ac:dyDescent="0.35">
      <c r="B4" s="12" t="s">
        <v>170</v>
      </c>
      <c r="C4" s="313" t="str">
        <f>Inputs!C5</f>
        <v>拼多多</v>
      </c>
      <c r="D4" s="314"/>
      <c r="E4" s="3"/>
      <c r="F4" s="9" t="s">
        <v>2</v>
      </c>
      <c r="G4" s="317">
        <f>Inputs!C10</f>
        <v>1388770048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45643</v>
      </c>
      <c r="D5" s="316"/>
      <c r="E5" s="16"/>
      <c r="F5" s="12" t="s">
        <v>91</v>
      </c>
      <c r="G5" s="320">
        <f>G3*G4/1000000</f>
        <v>137307.69464576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0.13704513013362885</v>
      </c>
      <c r="H7" s="22" t="str">
        <f>IF(G6=Dashboard!H3,H3,G6&amp;"/"&amp;Dashboard!H3)</f>
        <v>CNY/USD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0.31349208619001007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0.23703339703420548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0.71144720328873301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1.8589784908222882</v>
      </c>
      <c r="F23" s="39" t="s">
        <v>165</v>
      </c>
      <c r="G23" s="40">
        <f>G3/(Data!C34*Data!C4/Common_Shares*Exchange_Rate)</f>
        <v>5.3509255459238894</v>
      </c>
    </row>
    <row r="24" spans="1:8" ht="15.75" customHeight="1" x14ac:dyDescent="0.35">
      <c r="B24" s="41" t="s">
        <v>241</v>
      </c>
      <c r="C24" s="42">
        <f>Fin_Analysis!I81</f>
        <v>1.7762534813500148E-4</v>
      </c>
      <c r="F24" s="39" t="s">
        <v>226</v>
      </c>
      <c r="G24" s="43">
        <f>G3/(Fin_Analysis!H86*G7)</f>
        <v>22.775432421455687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36.120601548624833</v>
      </c>
      <c r="D29" s="54">
        <f>G29*(1+G20)</f>
        <v>67.877381901639765</v>
      </c>
      <c r="E29" s="3"/>
      <c r="F29" s="55">
        <f>IF(Fin_Analysis!C108="Profit",Fin_Analysis!F100,IF(Fin_Analysis!C108="Dividend",Fin_Analysis!F103,Fin_Analysis!F106))</f>
        <v>42.494825351323335</v>
      </c>
      <c r="G29" s="319">
        <f>IF(Fin_Analysis!C108="Profit",Fin_Analysis!I100,IF(Fin_Analysis!C108="Dividend",Fin_Analysis!I103,Fin_Analysis!I106))</f>
        <v>59.023810349251974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58698762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247639205</v>
      </c>
      <c r="D6" s="147">
        <f>IF(Inputs!D25="","",Inputs!D25)</f>
        <v>130557589</v>
      </c>
      <c r="E6" s="147">
        <f>IF(Inputs!E25="","",Inputs!E25)</f>
        <v>93949939</v>
      </c>
      <c r="F6" s="147">
        <f>IF(Inputs!F25="","",Inputs!F25)</f>
        <v>59491865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0.89678138893940518</v>
      </c>
      <c r="D7" s="148">
        <f t="shared" si="1"/>
        <v>0.38965059892162346</v>
      </c>
      <c r="E7" s="148">
        <f t="shared" si="1"/>
        <v>0.57920648478577696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91723577</v>
      </c>
      <c r="D8" s="149">
        <f>IF(Inputs!D26="","",Inputs!D26)</f>
        <v>31462298</v>
      </c>
      <c r="E8" s="149">
        <f>IF(Inputs!E26="","",Inputs!E26)</f>
        <v>31718093</v>
      </c>
      <c r="F8" s="149">
        <f>IF(Inputs!F26="","",Inputs!F26)</f>
        <v>19278641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155915628</v>
      </c>
      <c r="D9" s="279">
        <f t="shared" si="2"/>
        <v>99095291</v>
      </c>
      <c r="E9" s="279">
        <f t="shared" si="2"/>
        <v>62231846</v>
      </c>
      <c r="F9" s="279">
        <f t="shared" si="2"/>
        <v>40213224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86264492</v>
      </c>
      <c r="D10" s="149">
        <f>IF(Inputs!D27="","",Inputs!D27)</f>
        <v>58308654</v>
      </c>
      <c r="E10" s="149">
        <f>IF(Inputs!E27="","",Inputs!E27)</f>
        <v>46342494</v>
      </c>
      <c r="F10" s="149">
        <f>IF(Inputs!F27="","",Inputs!F27)</f>
        <v>42701896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10952374</v>
      </c>
      <c r="D11" s="149">
        <f>IF(Inputs!D28="","",Inputs!D28)</f>
        <v>10384716</v>
      </c>
      <c r="E11" s="149">
        <f>IF(Inputs!E28="","",Inputs!E28)</f>
        <v>8992590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0.23703339703420548</v>
      </c>
      <c r="D13" s="300">
        <f t="shared" si="3"/>
        <v>0.23286215097002136</v>
      </c>
      <c r="E13" s="300">
        <f t="shared" si="3"/>
        <v>7.3408903437393397E-2</v>
      </c>
      <c r="F13" s="300">
        <f t="shared" si="3"/>
        <v>-4.1832139570679119E-2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58698762</v>
      </c>
      <c r="D14" s="302">
        <f t="shared" ref="D14:M14" si="4">IF(D6="","",D9-D10-MAX(D11,0)-MAX(D12,0))</f>
        <v>30401921</v>
      </c>
      <c r="E14" s="302">
        <f t="shared" si="4"/>
        <v>6896762</v>
      </c>
      <c r="F14" s="302">
        <f t="shared" si="4"/>
        <v>-2488672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0.93075832280466753</v>
      </c>
      <c r="D15" s="304">
        <f t="shared" ref="D15:M15" si="5">IF(E14="","",IF(ABS(D14+E14)=ABS(D14)+ABS(E14),IF(D14&lt;0,-1,1)*(D14-E14)/E14,"Turn"))</f>
        <v>3.4081441406851507</v>
      </c>
      <c r="E15" s="304" t="str">
        <f t="shared" si="5"/>
        <v>Turn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43987</v>
      </c>
      <c r="D17" s="149">
        <f>IF(Inputs!D29="","",Inputs!D29)</f>
        <v>51655</v>
      </c>
      <c r="E17" s="149">
        <f>IF(Inputs!E29="","",Inputs!E29)</f>
        <v>1231002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58654775</v>
      </c>
      <c r="D22" s="283">
        <f t="shared" ref="D22:M22" si="8">IF(D6="","",D14-MAX(D16,0)-MAX(D17,0)-ABS(MAX(D21,0)-MAX(D19,0)))</f>
        <v>30350266</v>
      </c>
      <c r="E22" s="283">
        <f t="shared" si="8"/>
        <v>5665760</v>
      </c>
      <c r="F22" s="283">
        <f t="shared" si="8"/>
        <v>-2488672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0.17764182876455284</v>
      </c>
      <c r="D23" s="148">
        <f t="shared" si="9"/>
        <v>0.17434987635992574</v>
      </c>
      <c r="E23" s="148">
        <f t="shared" si="9"/>
        <v>4.5229619574313935E-2</v>
      </c>
      <c r="F23" s="148">
        <f t="shared" si="9"/>
        <v>-3.1374104678009336E-2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43991081.25</v>
      </c>
      <c r="D24" s="282">
        <f>IF(D6="","",D22*(1-Fin_Analysis!$I$84))</f>
        <v>22762699.5</v>
      </c>
      <c r="E24" s="282">
        <f>IF(E6="","",E22*(1-Fin_Analysis!$I$84))</f>
        <v>4249320</v>
      </c>
      <c r="F24" s="282">
        <f>IF(F6="","",F22*(1-Fin_Analysis!$I$84))</f>
        <v>-1866504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0.93259508829346005</v>
      </c>
      <c r="D25" s="152">
        <f t="shared" ref="D25:M25" si="10">IF(E24="","",IF(ABS(D24+E24)=ABS(D24)+ABS(E24),IF(D24&lt;0,-1,1)*(D24-E24)/E24,"Turn"))</f>
        <v>4.3567863799384376</v>
      </c>
      <c r="E25" s="152" t="str">
        <f t="shared" si="10"/>
        <v>Turn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348078120</v>
      </c>
      <c r="D27" s="153">
        <f>IF(D34="","",D34+D30)</f>
        <v>237119953</v>
      </c>
      <c r="E27" s="153">
        <f t="shared" ref="E27:M27" si="20">IF(E34="","",E34+E30)</f>
        <v>181209718</v>
      </c>
      <c r="F27" s="153">
        <f t="shared" si="20"/>
        <v>158908614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160836513</v>
      </c>
      <c r="D30" s="149">
        <f>IF(Inputs!D37="","",Inputs!D37)</f>
        <v>119349042</v>
      </c>
      <c r="E30" s="149">
        <f>IF(Inputs!E37="","",Inputs!E37)</f>
        <v>106095171</v>
      </c>
      <c r="F30" s="149">
        <f>IF(Inputs!F37="","",Inputs!F37)</f>
        <v>98732726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187241607</v>
      </c>
      <c r="D34" s="149">
        <f>IF(Inputs!D41="","",Inputs!D41)</f>
        <v>117770911</v>
      </c>
      <c r="E34" s="149">
        <f>IF(Inputs!E41="","",Inputs!E41)</f>
        <v>75114547</v>
      </c>
      <c r="F34" s="149">
        <f>IF(Inputs!F41="","",Inputs!F41)</f>
        <v>60175888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0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348078120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0.16863674740601334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0.37039198619620833</v>
      </c>
      <c r="D40" s="156">
        <f t="shared" si="34"/>
        <v>0.24098406106442422</v>
      </c>
      <c r="E40" s="156">
        <f t="shared" si="34"/>
        <v>0.33760631819037157</v>
      </c>
      <c r="F40" s="156">
        <f t="shared" si="34"/>
        <v>0.32405507879102463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0.39257461676958622</v>
      </c>
      <c r="D41" s="151">
        <f t="shared" si="35"/>
        <v>0.52615378796555445</v>
      </c>
      <c r="E41" s="151">
        <f t="shared" si="35"/>
        <v>0.58898477837223506</v>
      </c>
      <c r="F41" s="151">
        <f t="shared" si="35"/>
        <v>0.71777706077965453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1.7762534813500148E-4</v>
      </c>
      <c r="D43" s="151">
        <f t="shared" si="37"/>
        <v>3.9564915678704822E-4</v>
      </c>
      <c r="E43" s="151">
        <f t="shared" si="37"/>
        <v>1.310274400497482E-2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0.23685577168607047</v>
      </c>
      <c r="D46" s="289">
        <f t="shared" si="40"/>
        <v>0.23246650181323431</v>
      </c>
      <c r="E46" s="289">
        <f t="shared" si="40"/>
        <v>6.0306159432418578E-2</v>
      </c>
      <c r="F46" s="289">
        <f t="shared" si="40"/>
        <v>-4.1832139570679119E-2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0.71144720328873301</v>
      </c>
      <c r="D48" s="159">
        <f t="shared" si="41"/>
        <v>0.55059722873679884</v>
      </c>
      <c r="E48" s="159">
        <f t="shared" si="41"/>
        <v>0.51845971638231891</v>
      </c>
      <c r="F48" s="159">
        <f t="shared" si="41"/>
        <v>0.37437784839027038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0.53792983885341605</v>
      </c>
      <c r="D53" s="156">
        <f t="shared" si="45"/>
        <v>0.49667229395916757</v>
      </c>
      <c r="E53" s="156">
        <f t="shared" si="45"/>
        <v>0.41451721148862447</v>
      </c>
      <c r="F53" s="156">
        <f t="shared" si="45"/>
        <v>0.37868235387164095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7.4993041913467401E-4</v>
      </c>
      <c r="D55" s="151">
        <f t="shared" si="47"/>
        <v>1.7019620190478727E-3</v>
      </c>
      <c r="E55" s="151">
        <f t="shared" si="47"/>
        <v>0.21727041032447544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0.31349208619001012</v>
      </c>
      <c r="D58" s="162">
        <f t="shared" si="49"/>
        <v>0.25814456848346873</v>
      </c>
      <c r="E58" s="162">
        <f t="shared" si="49"/>
        <v>9.1816595792024142E-2</v>
      </c>
      <c r="F58" s="162">
        <f t="shared" si="49"/>
        <v>-4.1356631081206477E-2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0.31325716511288004</v>
      </c>
      <c r="D59" s="162">
        <f t="shared" si="50"/>
        <v>0.2577059627228323</v>
      </c>
      <c r="E59" s="162">
        <f t="shared" si="50"/>
        <v>7.5428265579502191E-2</v>
      </c>
      <c r="F59" s="162">
        <f t="shared" si="50"/>
        <v>-4.1356631081206477E-2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187241607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187241607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-160836513</v>
      </c>
      <c r="E6" s="176">
        <f>1-D6/D3</f>
        <v>1.8589784908222882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160836513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160836513</v>
      </c>
      <c r="J48" s="193"/>
    </row>
    <row r="49" spans="2:11" ht="15" customHeight="1" thickTop="1" x14ac:dyDescent="0.35">
      <c r="B49" s="9" t="s">
        <v>13</v>
      </c>
      <c r="C49" s="190">
        <f>Inputs!C41+Inputs!C37</f>
        <v>348078120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160836513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-15.871497866811778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-15.871497866811778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-15.871497866811778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348078120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160836513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187241607</v>
      </c>
      <c r="D70" s="34">
        <f t="shared" si="2"/>
        <v>-0.85897849082228828</v>
      </c>
      <c r="E70" s="208">
        <f>E68-E69</f>
        <v>-160836513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247639205</v>
      </c>
      <c r="D74" s="103"/>
      <c r="E74" s="262">
        <f>Inputs!E91</f>
        <v>247639205</v>
      </c>
      <c r="F74" s="103"/>
      <c r="H74" s="262">
        <f>Inputs!F91</f>
        <v>247639205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91723577</v>
      </c>
      <c r="D75" s="106">
        <f>C75/$C$74</f>
        <v>0.37039198619620833</v>
      </c>
      <c r="E75" s="262">
        <f>Inputs!E92</f>
        <v>91723577</v>
      </c>
      <c r="F75" s="217">
        <f>E75/E74</f>
        <v>0.37039198619620833</v>
      </c>
      <c r="H75" s="262">
        <f>Inputs!F92</f>
        <v>91723577</v>
      </c>
      <c r="I75" s="217">
        <f>H75/$H$74</f>
        <v>0.37039198619620833</v>
      </c>
      <c r="K75" s="75"/>
    </row>
    <row r="76" spans="1:11" ht="15" customHeight="1" x14ac:dyDescent="0.35">
      <c r="B76" s="12" t="s">
        <v>87</v>
      </c>
      <c r="C76" s="150">
        <f>C74-C75</f>
        <v>155915628</v>
      </c>
      <c r="D76" s="218"/>
      <c r="E76" s="219">
        <f>E74-E75</f>
        <v>155915628</v>
      </c>
      <c r="F76" s="218"/>
      <c r="H76" s="219">
        <f>H74-H75</f>
        <v>155915628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97216866</v>
      </c>
      <c r="D77" s="106">
        <f>C77/$C$74</f>
        <v>0.39257461676958622</v>
      </c>
      <c r="E77" s="262">
        <f>Inputs!E93</f>
        <v>97216866</v>
      </c>
      <c r="F77" s="217">
        <f>E77/E74</f>
        <v>0.39257461676958622</v>
      </c>
      <c r="H77" s="262">
        <f>Inputs!F93</f>
        <v>97216866</v>
      </c>
      <c r="I77" s="217">
        <f>H77/$H$74</f>
        <v>0.39257461676958622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58698762</v>
      </c>
      <c r="D79" s="223">
        <f>C79/C74</f>
        <v>0.23703339703420548</v>
      </c>
      <c r="E79" s="224">
        <f>E76-E77-E78</f>
        <v>58698762</v>
      </c>
      <c r="F79" s="223">
        <f>E79/E74</f>
        <v>0.23703339703420548</v>
      </c>
      <c r="G79" s="225"/>
      <c r="H79" s="224">
        <f>H76-H77-H78</f>
        <v>58698762</v>
      </c>
      <c r="I79" s="223">
        <f>H79/H74</f>
        <v>0.23703339703420548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43987</v>
      </c>
      <c r="D81" s="106">
        <f>C81/$C$74</f>
        <v>1.7762534813500148E-4</v>
      </c>
      <c r="E81" s="220">
        <f>E74*F81</f>
        <v>43987</v>
      </c>
      <c r="F81" s="217">
        <f>I81</f>
        <v>1.7762534813500148E-4</v>
      </c>
      <c r="H81" s="262">
        <f>Inputs!F94</f>
        <v>43987</v>
      </c>
      <c r="I81" s="217">
        <f>H81/$H$74</f>
        <v>1.7762534813500148E-4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58654775</v>
      </c>
      <c r="D83" s="229">
        <f>C83/$C$74</f>
        <v>0.23685577168607047</v>
      </c>
      <c r="E83" s="230">
        <f>E79-E81-E82-E80</f>
        <v>58654775</v>
      </c>
      <c r="F83" s="229">
        <f>E83/E74</f>
        <v>0.23685577168607047</v>
      </c>
      <c r="H83" s="230">
        <f>H79-H81-H82-H80</f>
        <v>58654775</v>
      </c>
      <c r="I83" s="229">
        <f>H83/$H$74</f>
        <v>0.23685577168607047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43991081.25</v>
      </c>
      <c r="D85" s="223">
        <f>C85/$C$74</f>
        <v>0.17764182876455284</v>
      </c>
      <c r="E85" s="235">
        <f>E83*(1-F84)</f>
        <v>43991081.25</v>
      </c>
      <c r="F85" s="223">
        <f>E85/E74</f>
        <v>0.17764182876455284</v>
      </c>
      <c r="G85" s="225"/>
      <c r="H85" s="235">
        <f>H83*(1-I84)</f>
        <v>43991081.25</v>
      </c>
      <c r="I85" s="223">
        <f>H85/$H$74</f>
        <v>0.17764182876455284</v>
      </c>
      <c r="K85" s="75"/>
    </row>
    <row r="86" spans="1:11" ht="15" customHeight="1" x14ac:dyDescent="0.35">
      <c r="B86" s="3" t="s">
        <v>145</v>
      </c>
      <c r="C86" s="236">
        <f>C85*Data!C4/Common_Shares</f>
        <v>31.676288895596919</v>
      </c>
      <c r="D86" s="103"/>
      <c r="E86" s="237">
        <f>E85*Data!C4/Common_Shares</f>
        <v>31.676288895596919</v>
      </c>
      <c r="F86" s="103"/>
      <c r="H86" s="237">
        <f>H85*Data!C4/Common_Shares</f>
        <v>31.676288895596919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4.3906959986320437E-2</v>
      </c>
      <c r="D87" s="103"/>
      <c r="E87" s="239">
        <f>E86*Exchange_Rate/Dashboard!G3</f>
        <v>4.3906959986320437E-2</v>
      </c>
      <c r="F87" s="103"/>
      <c r="H87" s="239">
        <f>H86*Exchange_Rate/Dashboard!G3</f>
        <v>4.3906959986320437E-2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102.08306409803839</v>
      </c>
      <c r="H93" s="3" t="s">
        <v>184</v>
      </c>
      <c r="I93" s="243">
        <f>FV(H87,D93,0,-(H86/(C93-D94)))*Exchange_Rate</f>
        <v>102.08306409803839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81057401.497233018</v>
      </c>
      <c r="D97" s="250"/>
      <c r="E97" s="251">
        <f>PV(C94,D93,0,-F93)</f>
        <v>58.366323218135115</v>
      </c>
      <c r="F97" s="250"/>
      <c r="H97" s="251">
        <f>PV(C94,D93,0,-I93)</f>
        <v>58.366323218135115</v>
      </c>
      <c r="I97" s="251">
        <f>PV(C93,D93,0,-I93)</f>
        <v>74.895308216063754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-22041860.854324088</v>
      </c>
      <c r="D99" s="254"/>
      <c r="E99" s="255">
        <f>IF(H99&gt;0,I64,H99)</f>
        <v>-15.871497866811778</v>
      </c>
      <c r="F99" s="254"/>
      <c r="H99" s="255">
        <f>I64</f>
        <v>-15.871497866811778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36.120601548624833</v>
      </c>
      <c r="E100" s="257">
        <f>MAX(E97+H98+E99,0)</f>
        <v>42.494825351323335</v>
      </c>
      <c r="F100" s="257">
        <f>(E100+H100)/2</f>
        <v>42.494825351323335</v>
      </c>
      <c r="H100" s="257">
        <f>MAX(H97+H98+H99,0)</f>
        <v>42.494825351323335</v>
      </c>
      <c r="I100" s="257">
        <f>MAX(I97+H98+H99,0)</f>
        <v>59.023810349251974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18.060300774312417</v>
      </c>
      <c r="E106" s="251">
        <f>(E100+E103)/2</f>
        <v>21.247412675661668</v>
      </c>
      <c r="F106" s="257">
        <f>(F100+F103)/2</f>
        <v>21.247412675661668</v>
      </c>
      <c r="H106" s="251">
        <f>(H100+H103)/2</f>
        <v>21.247412675661668</v>
      </c>
      <c r="I106" s="251">
        <f>(I100+I103)/2</f>
        <v>29.511905174625987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