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3606F6F5-F67E-624F-9BFF-0B3ECECE8F4D}" xr6:coauthVersionLast="47" xr6:coauthVersionMax="47" xr10:uidLastSave="{00000000-0000-0000-0000-000000000000}"/>
  <bookViews>
    <workbookView xWindow="740" yWindow="74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L11" i="2" l="1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G54" i="2" l="1"/>
  <c r="E54" i="2"/>
  <c r="M54" i="2"/>
  <c r="F54" i="2"/>
  <c r="I54" i="2"/>
  <c r="H54" i="2"/>
  <c r="E19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E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F97" i="3"/>
  <c r="E100" i="3" l="1"/>
  <c r="F100" i="3"/>
  <c r="F106" i="3" s="1"/>
  <c r="D29" i="1"/>
  <c r="E106" i="3" l="1"/>
  <c r="C29" i="1"/>
  <c r="F29" i="1"/>
  <c r="C106" i="3"/>
</calcChain>
</file>

<file path=xl/sharedStrings.xml><?xml version="1.0" encoding="utf-8"?>
<sst xmlns="http://schemas.openxmlformats.org/spreadsheetml/2006/main" count="350" uniqueCount="248">
  <si>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</si>
  <si>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</si>
  <si>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</si>
  <si>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</si>
  <si>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</si>
  <si>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</si>
  <si>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</si>
  <si>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</si>
  <si>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</si>
  <si>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</si>
  <si>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</si>
  <si>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</si>
  <si>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</si>
  <si>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</si>
  <si>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</si>
  <si>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</si>
  <si>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</si>
  <si>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</si>
  <si>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</si>
  <si>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</si>
  <si>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</si>
  <si>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</si>
  <si>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</si>
  <si>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</si>
  <si>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</si>
  <si>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</si>
  <si>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</si>
  <si>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</si>
  <si>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</si>
  <si>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</si>
  <si>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</si>
  <si>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</si>
  <si>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</si>
  <si>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</si>
  <si>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</si>
  <si>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</si>
  <si>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</si>
  <si>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</si>
  <si>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</si>
  <si>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</si>
  <si>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</si>
  <si>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</si>
  <si>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</si>
  <si>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</si>
  <si>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</si>
  <si>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</si>
  <si>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</si>
  <si>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</si>
  <si>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</si>
  <si>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</si>
  <si>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</si>
  <si>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</si>
  <si>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</si>
  <si>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</si>
  <si>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</si>
  <si>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</si>
  <si>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</si>
  <si>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</si>
  <si>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</si>
  <si>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</si>
  <si>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</si>
  <si>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</si>
  <si>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</si>
  <si>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</si>
  <si>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</si>
  <si>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</si>
  <si>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</si>
  <si>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</si>
  <si>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</si>
  <si>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</si>
  <si>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</si>
  <si>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</si>
  <si>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</si>
  <si>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</si>
  <si>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</si>
  <si>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</si>
  <si>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</si>
  <si>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</si>
  <si>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</si>
  <si>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</si>
  <si>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</si>
  <si>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</si>
  <si>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</si>
  <si>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</si>
  <si>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</si>
  <si>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</si>
  <si>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</si>
  <si>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</si>
  <si>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</si>
  <si>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</si>
  <si>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</si>
  <si>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</si>
  <si>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</si>
  <si>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</si>
  <si>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</si>
  <si>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</si>
  <si>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</si>
  <si>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</si>
  <si>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</si>
  <si>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</si>
  <si>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</si>
  <si>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</si>
  <si>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</si>
  <si>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</si>
  <si>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</si>
  <si>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</si>
  <si>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</si>
  <si>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</si>
  <si>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</si>
  <si>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</si>
  <si>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</si>
  <si>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</si>
  <si>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</si>
  <si>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</si>
  <si>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</si>
  <si>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</si>
  <si>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</si>
  <si>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</si>
  <si>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</si>
  <si>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</si>
  <si>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</si>
  <si>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</si>
  <si>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</si>
  <si>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</si>
  <si>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</si>
  <si>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</si>
  <si>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</si>
  <si>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</si>
  <si>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</si>
  <si>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</si>
  <si>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</si>
  <si>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</si>
  <si>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</si>
  <si>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</si>
  <si>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</si>
  <si>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</si>
  <si>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</si>
  <si>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</si>
  <si>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</si>
  <si>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</si>
  <si>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</si>
  <si>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</si>
  <si>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</si>
  <si>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</si>
  <si>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</si>
  <si>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</si>
  <si>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</si>
  <si>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</si>
  <si>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</si>
  <si>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</si>
  <si>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</si>
  <si>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</si>
  <si>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</si>
  <si>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</si>
  <si>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</si>
  <si>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</si>
  <si>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</si>
  <si>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</si>
  <si>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</si>
  <si>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</si>
  <si>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</si>
  <si>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</si>
  <si>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</si>
  <si>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</si>
  <si>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</si>
  <si>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</si>
  <si>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</si>
  <si>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</si>
  <si>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</si>
  <si>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</si>
  <si>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</si>
  <si>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</si>
  <si>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</si>
  <si>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</si>
  <si>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</si>
  <si>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</si>
  <si>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</si>
  <si>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</si>
  <si>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</si>
  <si>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</si>
  <si>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</si>
  <si>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</si>
  <si>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</si>
  <si>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</si>
  <si>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</si>
  <si>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</si>
  <si>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</si>
  <si>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</si>
  <si>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</si>
  <si>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</si>
  <si>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</si>
  <si>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</si>
  <si>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</si>
  <si>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</si>
  <si>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</si>
  <si>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</si>
  <si>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</si>
  <si>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</si>
  <si>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</si>
  <si>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</si>
  <si>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</si>
  <si>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</si>
  <si>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</si>
  <si>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</si>
  <si>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</si>
  <si>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</si>
  <si>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</si>
  <si>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</si>
  <si>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</si>
  <si>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</si>
  <si>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</si>
  <si>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</si>
  <si>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</si>
  <si>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</si>
  <si>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</si>
  <si>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</si>
  <si>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</si>
  <si>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</si>
  <si>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</si>
  <si>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</si>
  <si>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</si>
  <si>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</si>
  <si>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</si>
  <si>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</si>
  <si>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</si>
  <si>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</si>
  <si>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</si>
  <si>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</si>
  <si>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</si>
  <si>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</si>
  <si>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</si>
  <si>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</si>
  <si>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</si>
  <si>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</si>
  <si>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</si>
  <si>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</si>
  <si>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</si>
  <si>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</si>
  <si>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</si>
  <si>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</si>
  <si>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</si>
  <si>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</si>
  <si>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</si>
  <si>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</si>
  <si>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銀河娛樂</t>
    <phoneticPr fontId="20" type="noConversion"/>
  </si>
  <si>
    <t>0027.HK</t>
    <phoneticPr fontId="20" type="noConversion"/>
  </si>
  <si>
    <t>C0011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</si>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</sst>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2" zoomScaleNormal="100" workbookViewId="0">
      <selection activeCell="C30" sqref="C3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1" t="str">
        <f>Inputs!C4</f>
        <v>0027.HK</v>
      </c>
      <c r="D3" s="242"/>
      <c r="E3" s="87"/>
      <c r="F3" s="3" t="s">
        <v>1</v>
      </c>
      <c r="G3" s="133">
        <v>32.599998474121094</v>
      </c>
      <c r="H3" s="135" t="s">
        <v>2</v>
      </c>
    </row>
    <row r="4" spans="1:10" ht="15.75" customHeight="1" x14ac:dyDescent="0.15">
      <c r="B4" s="35" t="s">
        <v>212</v>
      </c>
      <c r="C4" s="243" t="str">
        <f>Inputs!C5</f>
        <v>銀河娛樂</v>
      </c>
      <c r="D4" s="244"/>
      <c r="E4" s="87"/>
      <c r="F4" s="3" t="s">
        <v>3</v>
      </c>
      <c r="G4" s="247">
        <f>Inputs!C10</f>
        <v>4373586962</v>
      </c>
      <c r="H4" s="247"/>
      <c r="I4" s="39"/>
    </row>
    <row r="5" spans="1:10" ht="15.75" customHeight="1" x14ac:dyDescent="0.15">
      <c r="B5" s="3" t="s">
        <v>175</v>
      </c>
      <c r="C5" s="245">
        <f>Inputs!C6</f>
        <v>45603</v>
      </c>
      <c r="D5" s="246"/>
      <c r="E5" s="34"/>
      <c r="F5" s="35" t="s">
        <v>102</v>
      </c>
      <c r="G5" s="239">
        <f>G3*G4/1000000</f>
        <v>142578.92828763594</v>
      </c>
      <c r="H5" s="239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15">
      <c r="B7" s="86" t="s">
        <v>209</v>
      </c>
      <c r="C7" s="194" t="s">
        <v>71</v>
      </c>
      <c r="D7" s="194" t="str">
        <f>Inputs!C9</f>
        <v>C0011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0.47272944175123971</v>
      </c>
      <c r="F20" s="87" t="s">
        <v>232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0.35112695227219692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3.3724815460104543E-2</v>
      </c>
    </row>
    <row r="25" spans="1:8" ht="15.75" customHeight="1" x14ac:dyDescent="0.15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0.45478155540723947</v>
      </c>
    </row>
    <row r="26" spans="1:8" ht="15.75" customHeight="1" x14ac:dyDescent="0.15">
      <c r="B26" s="139" t="s">
        <v>187</v>
      </c>
      <c r="C26" s="177">
        <f>Fin_Analysis!I83</f>
        <v>0.17614360597656339</v>
      </c>
      <c r="F26" s="142" t="s">
        <v>210</v>
      </c>
      <c r="G26" s="184">
        <f>Fin_Analysis!H88*Exchange_Rate/G3</f>
        <v>1.533742403076846E-2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15">
      <c r="B29" s="87" t="s">
        <v>180</v>
      </c>
      <c r="C29" s="131">
        <f>IF(Fin_Analysis!C108="Profit",Fin_Analysis!E100,IF(Fin_Analysis!C108="Dividend",Fin_Analysis!E103,Fin_Analysis!E106))</f>
        <v>6.4431444970098211</v>
      </c>
      <c r="D29" s="130">
        <f>IF(Fin_Analysis!C108="Profit",Fin_Analysis!I100,IF(Fin_Analysis!C108="Dividend",Fin_Analysis!I103,Fin_Analysis!I106))</f>
        <v>17.855496286660369</v>
      </c>
      <c r="E29" s="87"/>
      <c r="F29" s="132">
        <f>IF(Fin_Analysis!C108="Profit",Fin_Analysis!F100,IF(Fin_Analysis!C108="Dividend",Fin_Analysis!F103,Fin_Analysis!F106))</f>
        <v>14.284397029328296</v>
      </c>
      <c r="G29" s="238">
        <f>IF(Fin_Analysis!C108="Profit",Fin_Analysis!H100,IF(Fin_Analysis!C108="Dividend",Fin_Analysis!H103,Fin_Analysis!H106))</f>
        <v>14.284397029328296</v>
      </c>
      <c r="H29" s="238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0" sqref="F10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236</v>
      </c>
    </row>
    <row r="4" spans="1:6" ht="14" x14ac:dyDescent="0.15">
      <c r="B4" s="142" t="s">
        <v>211</v>
      </c>
      <c r="C4" s="195" t="s">
        <v>245</v>
      </c>
      <c r="F4" s="201" t="s">
        <v>227</v>
      </c>
    </row>
    <row r="5" spans="1:6" ht="17" x14ac:dyDescent="0.25">
      <c r="B5" s="142" t="s">
        <v>212</v>
      </c>
      <c r="C5" s="236" t="s">
        <v>244</v>
      </c>
      <c r="E5" s="231">
        <f>C18</f>
        <v>45291</v>
      </c>
      <c r="F5" s="232">
        <f>0.5+0.3</f>
        <v>0.8</v>
      </c>
    </row>
    <row r="6" spans="1:6" ht="14" x14ac:dyDescent="0.15">
      <c r="B6" s="142" t="s">
        <v>175</v>
      </c>
      <c r="C6" s="196">
        <v>45603</v>
      </c>
      <c r="E6" s="233" t="s">
        <v>225</v>
      </c>
      <c r="F6" s="232">
        <v>0.5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237</v>
      </c>
      <c r="C8" s="198" t="s">
        <v>46</v>
      </c>
    </row>
    <row r="9" spans="1:6" ht="14" x14ac:dyDescent="0.15">
      <c r="B9" s="141" t="s">
        <v>238</v>
      </c>
      <c r="C9" s="199" t="s">
        <v>246</v>
      </c>
    </row>
    <row r="10" spans="1:6" ht="14" x14ac:dyDescent="0.15">
      <c r="B10" s="141" t="s">
        <v>239</v>
      </c>
      <c r="C10" s="200">
        <v>4373586962</v>
      </c>
    </row>
    <row r="11" spans="1:6" ht="14" x14ac:dyDescent="0.15">
      <c r="B11" s="141" t="s">
        <v>240</v>
      </c>
      <c r="C11" s="199" t="s">
        <v>2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</v>
      </c>
    </row>
    <row r="14" spans="1:6" ht="14" x14ac:dyDescent="0.15">
      <c r="B14" s="227" t="s">
        <v>242</v>
      </c>
      <c r="C14" s="228">
        <v>45473</v>
      </c>
    </row>
    <row r="15" spans="1:6" ht="14" x14ac:dyDescent="0.15">
      <c r="B15" s="227" t="s">
        <v>241</v>
      </c>
      <c r="C15" s="182" t="s">
        <v>205</v>
      </c>
    </row>
    <row r="16" spans="1:6" ht="14" x14ac:dyDescent="0.15">
      <c r="B16" s="234" t="s">
        <v>98</v>
      </c>
      <c r="C16" s="235">
        <v>0.23499999999999999</v>
      </c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35684253</v>
      </c>
      <c r="D19" s="152">
        <v>11473793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16868997</v>
      </c>
      <c r="D20" s="153">
        <v>6522891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12529703</v>
      </c>
      <c r="D21" s="153">
        <v>8392476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46020</v>
      </c>
      <c r="D27" s="153">
        <v>-14407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</row>
    <row r="40" spans="2:13" ht="14" x14ac:dyDescent="0.15">
      <c r="B40" s="3" t="s">
        <v>38</v>
      </c>
      <c r="C40" s="59"/>
      <c r="D40" s="60">
        <v>1</v>
      </c>
    </row>
    <row r="41" spans="2:13" ht="14" x14ac:dyDescent="0.15">
      <c r="B41" s="1" t="s">
        <v>146</v>
      </c>
      <c r="C41" s="59"/>
      <c r="D41" s="60">
        <v>0.95</v>
      </c>
    </row>
    <row r="42" spans="2:13" ht="14" x14ac:dyDescent="0.15">
      <c r="B42" s="3" t="s">
        <v>121</v>
      </c>
      <c r="C42" s="59"/>
      <c r="D42" s="60">
        <v>0.8</v>
      </c>
    </row>
    <row r="43" spans="2:13" ht="14" x14ac:dyDescent="0.15">
      <c r="B43" s="3" t="s">
        <v>42</v>
      </c>
      <c r="C43" s="59"/>
      <c r="D43" s="60">
        <v>0.3</v>
      </c>
    </row>
    <row r="44" spans="2:13" ht="14" x14ac:dyDescent="0.15">
      <c r="B44" s="3" t="s">
        <v>44</v>
      </c>
      <c r="C44" s="59"/>
      <c r="D44" s="60">
        <v>0.05</v>
      </c>
    </row>
    <row r="45" spans="2:13" ht="14" x14ac:dyDescent="0.15">
      <c r="B45" s="1" t="s">
        <v>170</v>
      </c>
      <c r="C45" s="59"/>
      <c r="D45" s="60">
        <v>0.5</v>
      </c>
    </row>
    <row r="46" spans="2:13" ht="14" x14ac:dyDescent="0.15">
      <c r="B46" s="3" t="s">
        <v>122</v>
      </c>
      <c r="C46" s="59"/>
      <c r="D46" s="60">
        <v>0.1</v>
      </c>
    </row>
    <row r="47" spans="2:13" ht="14" x14ac:dyDescent="0.15">
      <c r="B47" s="3" t="s">
        <v>47</v>
      </c>
      <c r="C47" s="59"/>
      <c r="D47" s="60">
        <v>0.5</v>
      </c>
    </row>
    <row r="48" spans="2:13" ht="14" x14ac:dyDescent="0.15">
      <c r="B48" s="1" t="s">
        <v>48</v>
      </c>
      <c r="C48" s="59"/>
      <c r="D48" s="60">
        <v>0.75</v>
      </c>
    </row>
    <row r="49" spans="2:4" ht="14" x14ac:dyDescent="0.15">
      <c r="B49" s="3" t="s">
        <v>124</v>
      </c>
      <c r="C49" s="59"/>
      <c r="D49" s="60">
        <v>0.6</v>
      </c>
    </row>
    <row r="50" spans="2:4" ht="14" x14ac:dyDescent="0.15">
      <c r="B50" s="3" t="s">
        <v>50</v>
      </c>
      <c r="C50" s="59"/>
      <c r="D50" s="60">
        <v>0.95</v>
      </c>
    </row>
    <row r="51" spans="2:4" ht="14" x14ac:dyDescent="0.15">
      <c r="B51" s="35" t="s">
        <v>51</v>
      </c>
      <c r="C51" s="121"/>
      <c r="D51" s="202">
        <v>0.2</v>
      </c>
    </row>
    <row r="52" spans="2:4" ht="14" x14ac:dyDescent="0.15">
      <c r="B52" s="3" t="s">
        <v>61</v>
      </c>
      <c r="C52" s="59"/>
      <c r="D52" s="60">
        <v>0.95</v>
      </c>
    </row>
    <row r="53" spans="2:4" ht="14" x14ac:dyDescent="0.15">
      <c r="B53" s="3" t="s">
        <v>63</v>
      </c>
      <c r="C53" s="59"/>
      <c r="D53" s="60">
        <v>0.5</v>
      </c>
    </row>
    <row r="54" spans="2:4" ht="14" x14ac:dyDescent="0.15">
      <c r="B54" s="3" t="s">
        <v>65</v>
      </c>
      <c r="C54" s="59"/>
      <c r="D54" s="60">
        <v>0.4</v>
      </c>
    </row>
    <row r="55" spans="2:4" ht="14" x14ac:dyDescent="0.15">
      <c r="B55" s="1" t="s">
        <v>171</v>
      </c>
      <c r="C55" s="59"/>
      <c r="D55" s="60">
        <v>0.5</v>
      </c>
    </row>
    <row r="56" spans="2:4" ht="14" x14ac:dyDescent="0.15">
      <c r="B56" s="3" t="s">
        <v>68</v>
      </c>
      <c r="C56" s="59"/>
      <c r="D56" s="60">
        <v>0</v>
      </c>
    </row>
    <row r="57" spans="2:4" ht="14" x14ac:dyDescent="0.15">
      <c r="B57" s="3" t="s">
        <v>70</v>
      </c>
      <c r="C57" s="59"/>
      <c r="D57" s="60">
        <v>0.1</v>
      </c>
    </row>
    <row r="58" spans="2:4" ht="14" x14ac:dyDescent="0.15">
      <c r="B58" s="3" t="s">
        <v>72</v>
      </c>
      <c r="C58" s="59"/>
      <c r="D58" s="60">
        <v>0.2</v>
      </c>
    </row>
    <row r="59" spans="2:4" ht="14" x14ac:dyDescent="0.15">
      <c r="B59" s="1" t="s">
        <v>49</v>
      </c>
      <c r="C59" s="59"/>
      <c r="D59" s="60">
        <v>0.05</v>
      </c>
    </row>
    <row r="60" spans="2:4" ht="14" x14ac:dyDescent="0.15">
      <c r="B60" s="3" t="s">
        <v>123</v>
      </c>
      <c r="C60" s="59"/>
      <c r="D60" s="60">
        <v>0.1</v>
      </c>
    </row>
    <row r="61" spans="2:4" ht="14" x14ac:dyDescent="0.15">
      <c r="B61" s="3" t="s">
        <v>73</v>
      </c>
      <c r="C61" s="59"/>
      <c r="D61" s="60">
        <v>0.05</v>
      </c>
    </row>
    <row r="62" spans="2:4" ht="14" x14ac:dyDescent="0.15">
      <c r="B62" s="3" t="s">
        <v>74</v>
      </c>
      <c r="C62" s="59"/>
      <c r="D62" s="60">
        <v>0.05</v>
      </c>
    </row>
    <row r="63" spans="2:4" ht="14" x14ac:dyDescent="0.15">
      <c r="B63" s="3" t="s">
        <v>75</v>
      </c>
      <c r="C63" s="59"/>
      <c r="D63" s="60">
        <v>0.95</v>
      </c>
    </row>
    <row r="64" spans="2:4" ht="14" x14ac:dyDescent="0.15">
      <c r="B64" s="3" t="s">
        <v>76</v>
      </c>
      <c r="C64" s="59"/>
      <c r="D64" s="60">
        <v>0</v>
      </c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243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 t="e">
        <f>C19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35684253</v>
      </c>
      <c r="D6" s="209">
        <f>IF(Inputs!D19="","",Inputs!D19)</f>
        <v>11473793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16868997</v>
      </c>
      <c r="D8" s="208">
        <f>IF(Inputs!D20="","",Inputs!D20)</f>
        <v>6522891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18815256</v>
      </c>
      <c r="D9" s="154">
        <f t="shared" si="2"/>
        <v>4950902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12529703</v>
      </c>
      <c r="D10" s="208">
        <f>IF(Inputs!D21="","",Inputs!D21)</f>
        <v>8392476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6285553</v>
      </c>
      <c r="D13" s="154">
        <f t="shared" ref="D13:M13" si="4">IF(D6="","",(D9-D10+MAX(D12,0)))</f>
        <v>-3441574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 t="str">
        <f>IF(Inputs!C26="","",Inputs!C26)</f>
        <v/>
      </c>
      <c r="D17" s="208" t="str">
        <f>IF(Inputs!D26="","",Inputs!D26)</f>
        <v/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46020</v>
      </c>
      <c r="D18" s="208">
        <f>IF(Inputs!D27="","",Inputs!D27)</f>
        <v>-14407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99" t="s">
        <v>216</v>
      </c>
      <c r="C19" s="77" t="e">
        <f>IF(C6="","",C9-C10-C17-MAX(C18/(1-Fin_Analysis!$I$84),0))</f>
        <v>#VALUE!</v>
      </c>
      <c r="D19" s="77" t="e">
        <f>IF(D6="","",D9-D10-D17-MAX(D18/(1-Fin_Analysis!$I$84),0))</f>
        <v>#VALUE!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15">
      <c r="A20" s="4"/>
      <c r="B20" s="99" t="s">
        <v>217</v>
      </c>
      <c r="C20" s="156" t="e">
        <f>IF(D19="","",IF(ABS(C19+D19)=ABS(C19)+ABS(D19),IF(C19&lt;0,-1,1)*(C19-D19)/D19,"Turn"))</f>
        <v>#VALUE!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 t="e">
        <f>IF(C6="","",C13-MAX(C14,0)-MAX(C15,0)-MAX(C16,0)-C17-MAX(C18/(1-Fin_Analysis!$I$84),0))</f>
        <v>#VALUE!</v>
      </c>
      <c r="D21" s="77" t="e">
        <f>IF(D6="","",D13-MAX(D14,0)-MAX(D15,0)-MAX(D16,0)-D17-MAX(D18/(1-Fin_Analysis!$I$84),0))</f>
        <v>#VALUE!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15">
      <c r="A22" s="4"/>
      <c r="B22" s="98" t="s">
        <v>116</v>
      </c>
      <c r="C22" s="156" t="e">
        <f>IF(D21="","",IF(ABS(C21+D21)=ABS(C21)+ABS(D21),IF(C21&lt;0,-1,1)*(C21-D21)/D21,"Turn"))</f>
        <v>#VALUE!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 t="e">
        <f t="shared" ref="C23:M23" si="7">IF(C6="","",C24/C6)</f>
        <v>#VALUE!</v>
      </c>
      <c r="D23" s="157" t="e">
        <f t="shared" si="7"/>
        <v>#VALUE!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 t="e">
        <f>IF(C6="","",C21*(1-Fin_Analysis!$I$84))</f>
        <v>#VALUE!</v>
      </c>
      <c r="D24" s="77" t="e">
        <f>IF(D6="","",D21*(1-Fin_Analysis!$I$84))</f>
        <v>#VALUE!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 t="e">
        <f>IF(D24="","",IF(ABS(C24+D24)=ABS(C24)+ABS(D24),IF(C24&lt;0,-1,1)*(C24-D24)/D24,"Turn"))</f>
        <v>#VALUE!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#VALUE!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0.47272944175123971</v>
      </c>
      <c r="D42" s="161">
        <f t="shared" si="33"/>
        <v>0.56850345827225579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0.35112695227219692</v>
      </c>
      <c r="D43" s="157">
        <f t="shared" ref="D43:M43" si="34">IF(D6="","",(D10-MAX(D12,0))/D6)</f>
        <v>0.7314473949460305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 t="e">
        <f t="shared" ref="C46:M46" si="37">IF(C6="","",C17/C6)</f>
        <v>#VALUE!</v>
      </c>
      <c r="D46" s="157" t="e">
        <f t="shared" si="37"/>
        <v>#VALUE!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1.6858097812807804E-3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 t="e">
        <f t="shared" ref="C48:M48" si="38">IF(C6="","",C21/C6)</f>
        <v>#VALUE!</v>
      </c>
      <c r="D48" s="157" t="e">
        <f t="shared" si="38"/>
        <v>#VALUE!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e">
        <f>IF(OR(C21="",C35=""),"",IF(C35&lt;=0,"-",C21/C35))</f>
        <v>#VALUE!</v>
      </c>
      <c r="D54" s="162" t="e">
        <f t="shared" ref="D54:M54" si="42">IF(OR(D21="",D35=""),"",IF(D35&lt;=0,"-",D21/D35))</f>
        <v>#VALUE!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 t="e">
        <f t="shared" ref="C55:M55" si="43">IF(C21="","",IF(C17&lt;=0,"-",C17/C21))</f>
        <v>#VALUE!</v>
      </c>
      <c r="D55" s="157" t="e">
        <f t="shared" si="43"/>
        <v>#VALUE!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F97" sqref="F9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48">
        <f>I15+I34</f>
        <v>0</v>
      </c>
      <c r="E56" s="246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1">
        <f>Data!C5</f>
        <v>45291</v>
      </c>
      <c r="D72" s="251"/>
      <c r="E72" s="249" t="s">
        <v>226</v>
      </c>
      <c r="F72" s="249"/>
      <c r="H72" s="249" t="s">
        <v>225</v>
      </c>
      <c r="I72" s="249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15">
      <c r="B74" s="3" t="s">
        <v>136</v>
      </c>
      <c r="C74" s="77">
        <f>Data!C6</f>
        <v>35684253</v>
      </c>
      <c r="D74" s="218"/>
      <c r="E74" s="205">
        <f>H74</f>
        <v>35684253</v>
      </c>
      <c r="F74" s="218"/>
      <c r="H74" s="205">
        <f>C74</f>
        <v>35684253</v>
      </c>
      <c r="I74" s="218"/>
      <c r="K74" s="24"/>
    </row>
    <row r="75" spans="1:11" ht="15" customHeight="1" x14ac:dyDescent="0.15">
      <c r="B75" s="105" t="s">
        <v>109</v>
      </c>
      <c r="C75" s="77">
        <f>Data!C8</f>
        <v>16868997</v>
      </c>
      <c r="D75" s="164">
        <f>C75/$C$74</f>
        <v>0.47272944175123971</v>
      </c>
      <c r="E75" s="186">
        <f>E74*F75</f>
        <v>16868997</v>
      </c>
      <c r="F75" s="165">
        <f>I75</f>
        <v>0.47272944175123971</v>
      </c>
      <c r="H75" s="205">
        <f>D75*H74</f>
        <v>16868997</v>
      </c>
      <c r="I75" s="165">
        <f>H75/$H$74</f>
        <v>0.47272944175123971</v>
      </c>
      <c r="K75" s="24"/>
    </row>
    <row r="76" spans="1:11" ht="15" customHeight="1" x14ac:dyDescent="0.15">
      <c r="B76" s="35" t="s">
        <v>96</v>
      </c>
      <c r="C76" s="166">
        <f>C74-C75</f>
        <v>18815256</v>
      </c>
      <c r="D76" s="219"/>
      <c r="E76" s="167">
        <f>E74-E75</f>
        <v>18815256</v>
      </c>
      <c r="F76" s="219"/>
      <c r="H76" s="167">
        <f>H74-H75</f>
        <v>18815256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12529703</v>
      </c>
      <c r="D77" s="164">
        <f>C77/$C$74</f>
        <v>0.35112695227219692</v>
      </c>
      <c r="E77" s="186">
        <f>E74*F77</f>
        <v>12529703</v>
      </c>
      <c r="F77" s="165">
        <f>I77</f>
        <v>0.35112695227219692</v>
      </c>
      <c r="H77" s="205">
        <f>D77*H74</f>
        <v>12529703</v>
      </c>
      <c r="I77" s="165">
        <f>H77/$H$74</f>
        <v>0.35112695227219692</v>
      </c>
      <c r="K77" s="24"/>
    </row>
    <row r="78" spans="1:11" ht="15" customHeight="1" x14ac:dyDescent="0.15">
      <c r="B78" s="35" t="s">
        <v>97</v>
      </c>
      <c r="C78" s="166">
        <f>C76-C77</f>
        <v>6285553</v>
      </c>
      <c r="D78" s="219"/>
      <c r="E78" s="167">
        <f>E76-E77</f>
        <v>6285553</v>
      </c>
      <c r="F78" s="219"/>
      <c r="H78" s="167">
        <f>H76-H77</f>
        <v>6285553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8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46020</v>
      </c>
      <c r="D82" s="164">
        <f>C82/$C$74</f>
        <v>1.2896444826797971E-3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2">
      <c r="B83" s="106" t="s">
        <v>134</v>
      </c>
      <c r="C83" s="168">
        <f>C78-C79-C80-C81-C82</f>
        <v>6239533</v>
      </c>
      <c r="D83" s="169">
        <f>C83/$C$74</f>
        <v>0.1748539614938836</v>
      </c>
      <c r="E83" s="170">
        <f>E74*F83</f>
        <v>6285553</v>
      </c>
      <c r="F83" s="171">
        <f t="shared" si="8"/>
        <v>0.17614360597656339</v>
      </c>
      <c r="H83" s="170">
        <f>H78-H79-H80-H81-H82</f>
        <v>6285553</v>
      </c>
      <c r="I83" s="171">
        <f>H83/$H$74</f>
        <v>0.17614360597656339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15">
      <c r="B85" s="86" t="s">
        <v>176</v>
      </c>
      <c r="C85" s="166">
        <f>C83*(1-I84)</f>
        <v>4773242.7450000001</v>
      </c>
      <c r="D85" s="171">
        <f>C85/$C$74</f>
        <v>0.13376328054282094</v>
      </c>
      <c r="E85" s="172">
        <f>E83*(1-F84)</f>
        <v>4808448.0449999999</v>
      </c>
      <c r="F85" s="171">
        <f>E85/$H$74</f>
        <v>0.134749858572071</v>
      </c>
      <c r="H85" s="172">
        <f>H83*(1-I84)</f>
        <v>4808448.0449999999</v>
      </c>
      <c r="I85" s="171">
        <f>H85/$H$74</f>
        <v>0.134749858572071</v>
      </c>
      <c r="K85" s="24"/>
    </row>
    <row r="86" spans="1:11" ht="15" customHeight="1" x14ac:dyDescent="0.15">
      <c r="B86" s="87" t="s">
        <v>172</v>
      </c>
      <c r="C86" s="173">
        <f>C85*Data!C4/Common_Shares</f>
        <v>1.0913794069884553</v>
      </c>
      <c r="D86" s="218"/>
      <c r="E86" s="174">
        <f>E85*Data!C4/Common_Shares</f>
        <v>1.0994289325394235</v>
      </c>
      <c r="F86" s="218"/>
      <c r="H86" s="174">
        <f>H85*Data!C4/Common_Shares</f>
        <v>1.0994289325394235</v>
      </c>
      <c r="I86" s="218"/>
      <c r="K86" s="24"/>
    </row>
    <row r="87" spans="1:11" ht="15" customHeight="1" x14ac:dyDescent="0.15">
      <c r="B87" s="87" t="s">
        <v>228</v>
      </c>
      <c r="C87" s="165">
        <f>C86/Dashboard!G3</f>
        <v>3.3477897486861127E-2</v>
      </c>
      <c r="D87" s="218"/>
      <c r="E87" s="165">
        <f>E86/Dashboard!G3</f>
        <v>3.3724815460104543E-2</v>
      </c>
      <c r="F87" s="218"/>
      <c r="H87" s="165">
        <f>H86/Dashboard!G3</f>
        <v>3.3724815460104543E-2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0.8</v>
      </c>
      <c r="D88" s="171">
        <f>C88/C86</f>
        <v>0.73301731265712122</v>
      </c>
      <c r="E88" s="204">
        <f>H88</f>
        <v>0.5</v>
      </c>
      <c r="F88" s="171">
        <f>E88/E86</f>
        <v>0.45478155540723947</v>
      </c>
      <c r="H88" s="176">
        <f>Inputs!F6</f>
        <v>0.5</v>
      </c>
      <c r="I88" s="171">
        <f>H88/H86</f>
        <v>0.45478155540723947</v>
      </c>
      <c r="K88" s="24"/>
    </row>
    <row r="89" spans="1:11" ht="15" customHeight="1" x14ac:dyDescent="0.15">
      <c r="B89" s="87" t="s">
        <v>229</v>
      </c>
      <c r="C89" s="165">
        <f>C88/Dashboard!G3</f>
        <v>2.4539878449229537E-2</v>
      </c>
      <c r="D89" s="218"/>
      <c r="E89" s="165">
        <f>E88/Dashboard!G3</f>
        <v>1.533742403076846E-2</v>
      </c>
      <c r="F89" s="218"/>
      <c r="H89" s="165">
        <f>H88/Dashboard!G3</f>
        <v>1.533742403076846E-2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HK</v>
      </c>
      <c r="D92" s="10" t="s">
        <v>168</v>
      </c>
      <c r="E92" s="249" t="s">
        <v>226</v>
      </c>
      <c r="F92" s="249"/>
      <c r="G92" s="87"/>
      <c r="H92" s="249" t="s">
        <v>225</v>
      </c>
      <c r="I92" s="249"/>
      <c r="K92" s="24"/>
    </row>
    <row r="93" spans="1:11" ht="15" customHeight="1" x14ac:dyDescent="0.15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19.662916555816103</v>
      </c>
      <c r="H93" s="87" t="s">
        <v>230</v>
      </c>
      <c r="I93" s="146">
        <f>FV(H87,D93,0,-(H86/C93))</f>
        <v>19.662916555816103</v>
      </c>
      <c r="K93" s="24"/>
    </row>
    <row r="94" spans="1:11" ht="15" customHeight="1" x14ac:dyDescent="0.15">
      <c r="B94" s="1" t="s">
        <v>232</v>
      </c>
      <c r="C94" s="188">
        <f>Dashboard!G20</f>
        <v>0.25</v>
      </c>
      <c r="D94" s="147"/>
      <c r="E94" s="87" t="s">
        <v>231</v>
      </c>
      <c r="F94" s="146">
        <f>FV(E89,D93,0,-(E88/C93))</f>
        <v>8.1748169899538468</v>
      </c>
      <c r="H94" s="87" t="s">
        <v>231</v>
      </c>
      <c r="I94" s="146">
        <f>FV(H89,D93,0,-(H88/C93))</f>
        <v>8.1748169899538468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15">
      <c r="B97" s="1" t="s">
        <v>140</v>
      </c>
      <c r="C97" s="91">
        <f>H97*Common_Shares/Data!C4</f>
        <v>62474052.607501768</v>
      </c>
      <c r="E97" s="124">
        <f>PV(C94,D93,0,-F93)*Exchange_Rate</f>
        <v>6.4431444970098211</v>
      </c>
      <c r="F97" s="124">
        <f>PV(C93,D93,0,-F93)*Exchange_Rate</f>
        <v>14.284397029328296</v>
      </c>
      <c r="H97" s="124">
        <f>PV(C93,D93,0,-I93)*Exchange_Rate</f>
        <v>14.284397029328296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62474052.607501768</v>
      </c>
      <c r="E100" s="110">
        <f>MAX(E97-F98+F99,0)</f>
        <v>6.4431444970098211</v>
      </c>
      <c r="F100" s="110">
        <f>MAX(F97-H98+H99,0)</f>
        <v>14.284397029328296</v>
      </c>
      <c r="H100" s="110">
        <f>MAX(C100*Data!$C$4/Common_Shares,0)</f>
        <v>14.284397029328296</v>
      </c>
      <c r="I100" s="110">
        <f>H100*1.25</f>
        <v>17.855496286660369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15">
      <c r="B103" s="1" t="s">
        <v>173</v>
      </c>
      <c r="C103" s="91">
        <f>H103*Common_Shares/Data!C4</f>
        <v>25973458.476383124</v>
      </c>
      <c r="E103" s="110">
        <f>PV(C94,D93,0,-F94)*Exchange_Rate</f>
        <v>2.6787240312680765</v>
      </c>
      <c r="F103" s="124">
        <f>PV(C93,D93,0,-F94)*Exchange_Rate</f>
        <v>5.9387085936678643</v>
      </c>
      <c r="H103" s="124">
        <f>PV(C93,D93,0,-I94)*Exchange_Rate</f>
        <v>5.9387085936678643</v>
      </c>
      <c r="I103" s="110">
        <f>H103*1.25</f>
        <v>7.4233857420848306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15">
      <c r="B106" s="1" t="s">
        <v>215</v>
      </c>
      <c r="C106" s="91">
        <f>F106*Common_Shares/Data!C4</f>
        <v>44223755.541942455</v>
      </c>
      <c r="E106" s="110">
        <f>(E100+E103)/2</f>
        <v>4.5609342641389485</v>
      </c>
      <c r="F106" s="124">
        <f>(F100+F103)/2</f>
        <v>10.111552811498081</v>
      </c>
      <c r="H106" s="124">
        <f>(H100+H103)/2</f>
        <v>10.111552811498081</v>
      </c>
      <c r="I106" s="110">
        <f>H106*1.25</f>
        <v>12.639441014372601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