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0837CBB2-6D62-744D-944C-0B2098E58A59}" xr6:coauthVersionLast="47" xr6:coauthVersionMax="47" xr10:uidLastSave="{00000000-0000-0000-0000-000000000000}"/>
  <bookViews>
    <workbookView xWindow="2200" yWindow="2200" windowWidth="12700" windowHeight="7640" activeTab="1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" i="1" l="1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F96" i="3"/>
  <c r="F84" i="3"/>
  <c r="F28" i="1" l="1"/>
  <c r="F105" i="3"/>
  <c r="G28" i="1"/>
  <c r="H105" i="3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L54" i="2" l="1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<sst xmlns="http://schemas.openxmlformats.org/spreadsheetml/2006/main" count="348" uniqueCount="249">
  <si>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</si>
  <si>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</si>
  <si>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</si>
  <si>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</si>
  <si>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</si>
  <si>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</si>
  <si>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</si>
  <si>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</si>
  <si>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</si>
  <si>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</si>
  <si>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</si>
  <si>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</si>
  <si>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</si>
  <si>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</si>
  <si>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</si>
  <si>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</si>
  <si>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</si>
  <si>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</si>
  <si>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</si>
  <si>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</si>
  <si>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</si>
  <si>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</si>
  <si>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</si>
  <si>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</si>
  <si>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</si>
  <si>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</si>
  <si>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</si>
  <si>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</si>
  <si>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</si>
  <si>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</si>
  <si>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</si>
  <si>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</si>
  <si>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</si>
  <si>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</si>
  <si>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</si>
  <si>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</si>
  <si>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</si>
  <si>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</si>
  <si>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</si>
  <si>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</si>
  <si>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</si>
  <si>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</si>
  <si>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</si>
  <si>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</si>
  <si>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</si>
  <si>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</si>
  <si>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</si>
  <si>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</si>
  <si>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</si>
  <si>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</si>
  <si>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</si>
  <si>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</si>
  <si>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</si>
  <si>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</si>
  <si>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</si>
  <si>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</si>
  <si>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</si>
  <si>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</si>
  <si>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</si>
  <si>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</si>
  <si>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</si>
  <si>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</si>
  <si>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</si>
  <si>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</si>
  <si>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</si>
  <si>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</si>
  <si>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</si>
  <si>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</si>
  <si>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</si>
  <si>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</si>
  <si>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</si>
  <si>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</si>
  <si>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</si>
  <si>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</si>
  <si>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</si>
  <si>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</si>
  <si>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</si>
  <si>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</si>
  <si>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</si>
  <si>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</si>
  <si>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</si>
  <si>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</si>
  <si>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</si>
  <si>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</si>
  <si>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</si>
  <si>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</si>
  <si>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</si>
  <si>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</si>
  <si>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</si>
  <si>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</si>
  <si>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</si>
  <si>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</si>
  <si>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</si>
  <si>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</si>
  <si>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</si>
  <si>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</si>
  <si>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</si>
  <si>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</si>
  <si>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</si>
  <si>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</si>
  <si>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</si>
  <si>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</si>
  <si>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</si>
  <si>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</si>
  <si>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</si>
  <si>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</si>
  <si>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</si>
  <si>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</si>
  <si>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</si>
  <si>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</si>
  <si>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</si>
  <si>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</si>
  <si>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</si>
  <si>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</si>
  <si>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</si>
  <si>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</si>
  <si>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</si>
  <si>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</si>
  <si>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</si>
  <si>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</si>
  <si>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</si>
  <si>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</si>
  <si>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</si>
  <si>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</si>
  <si>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</si>
  <si>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</si>
  <si>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</si>
  <si>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</si>
  <si>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</si>
  <si>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</si>
  <si>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</si>
  <si>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</si>
  <si>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</si>
  <si>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</si>
  <si>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</si>
  <si>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</si>
  <si>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</si>
  <si>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</si>
  <si>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</si>
  <si>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</si>
  <si>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</si>
  <si>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</si>
  <si>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</si>
  <si>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</si>
  <si>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</si>
  <si>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</si>
  <si>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</si>
  <si>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</si>
  <si>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</si>
  <si>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</si>
  <si>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</si>
  <si>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</si>
  <si>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</si>
  <si>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</si>
  <si>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</si>
  <si>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</si>
  <si>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</si>
  <si>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</si>
  <si>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</si>
  <si>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</si>
  <si>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</si>
  <si>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</si>
  <si>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</si>
  <si>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</si>
  <si>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</si>
  <si>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</si>
  <si>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</si>
  <si>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</si>
  <si>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</si>
  <si>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</si>
  <si>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</si>
  <si>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</si>
  <si>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</si>
  <si>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</si>
  <si>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</si>
  <si>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</si>
  <si>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</si>
  <si>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</si>
  <si>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</si>
  <si>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</si>
  <si>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</si>
  <si>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</si>
  <si>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</si>
  <si>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</si>
  <si>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</si>
  <si>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</si>
  <si>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</si>
  <si>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</si>
  <si>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</si>
  <si>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</si>
  <si>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</si>
  <si>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</si>
  <si>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</si>
  <si>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</si>
  <si>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</si>
  <si>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</si>
  <si>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</si>
  <si>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</si>
  <si>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</si>
  <si>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</si>
  <si>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</si>
  <si>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</si>
  <si>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</si>
  <si>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</si>
  <si>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</si>
  <si>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</si>
  <si>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</si>
  <si>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</si>
  <si>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</si>
  <si>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</si>
  <si>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</si>
  <si>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</si>
  <si>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</si>
  <si>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</si>
  <si>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</si>
  <si>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</si>
  <si>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</si>
  <si>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</si>
  <si>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</si>
  <si>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</si>
  <si>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</si>
  <si>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</si>
  <si>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</si>
  <si>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</si>
  <si>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</si>
  <si>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</si>
  <si>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</si>
  <si>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</si>
  <si>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</si>
  <si>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</si>
  <si>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</si>
  <si>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</si>
  <si>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</si>
  <si>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</si>
  <si>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</si>
  <si>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</si>
  <si>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</si>
  <si>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</si>
  <si>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</si>
  <si>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</si>
  <si>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</si>
  <si>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</si>
  <si>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</si>
  <si>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</si>
  <si>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</si>
  <si>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</si>
  <si>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0710.HK</t>
    <phoneticPr fontId="20" type="noConversion"/>
  </si>
  <si>
    <t>京东方精电</t>
    <phoneticPr fontId="20" type="noConversion"/>
  </si>
  <si>
    <t>C0006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</si>
</sst>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0710.HK</v>
      </c>
      <c r="D3" s="247"/>
      <c r="E3" s="87"/>
      <c r="F3" s="3" t="s">
        <v>1</v>
      </c>
      <c r="G3" s="133">
        <v>5.3600001335144043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京东方精电</v>
      </c>
      <c r="D4" s="249"/>
      <c r="E4" s="87"/>
      <c r="F4" s="3" t="s">
        <v>3</v>
      </c>
      <c r="G4" s="252">
        <f>Inputs!C10</f>
        <v>791575204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4242.8431991266916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N</v>
      </c>
      <c r="D7" s="194" t="str">
        <f>Inputs!C9</f>
        <v>C0006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0.8649634921177769</v>
      </c>
      <c r="F20" s="87" t="s">
        <v>230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0.13052664506651043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2.3437755566327548E-3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4.7067232344920495E-2</v>
      </c>
      <c r="F23" s="141" t="s">
        <v>204</v>
      </c>
      <c r="G23" s="183">
        <f>G3/(Data!C36*Data!C4/Common_Shares*Exchange_Rate)</f>
        <v>0.89396405660016309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-9.2879282549307607E-2</v>
      </c>
    </row>
    <row r="25" spans="1:8" ht="15.75" customHeight="1" x14ac:dyDescent="0.15">
      <c r="B25" s="138" t="s">
        <v>208</v>
      </c>
      <c r="C25" s="177">
        <f>Fin_Analysis!I82</f>
        <v>5.409642155098836E-4</v>
      </c>
      <c r="F25" s="141" t="s">
        <v>188</v>
      </c>
      <c r="G25" s="177">
        <f>Fin_Analysis!I88</f>
        <v>-0.34146787646782939</v>
      </c>
    </row>
    <row r="26" spans="1:8" ht="15.75" customHeight="1" x14ac:dyDescent="0.15">
      <c r="B26" s="139" t="s">
        <v>187</v>
      </c>
      <c r="C26" s="177">
        <f>Fin_Analysis!I83</f>
        <v>-4.5442109301350432E-2</v>
      </c>
      <c r="F26" s="142" t="s">
        <v>210</v>
      </c>
      <c r="G26" s="184">
        <f>Fin_Analysis!H88*Exchange_Rate/G3</f>
        <v>3.1715291379967592E-2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0.9043786095963896</v>
      </c>
      <c r="D29" s="130">
        <f>IF(Fin_Analysis!C108="Profit",Fin_Analysis!I100,IF(Fin_Analysis!C108="Dividend",Fin_Analysis!I103,Fin_Analysis!I106))</f>
        <v>2.436892846626201</v>
      </c>
      <c r="E29" s="87"/>
      <c r="F29" s="132">
        <f>IF(Fin_Analysis!C108="Profit",Fin_Analysis!F100,IF(Fin_Analysis!C108="Dividend",Fin_Analysis!F103,Fin_Analysis!F106))</f>
        <v>1.9495142773009608</v>
      </c>
      <c r="G29" s="243">
        <f>IF(Fin_Analysis!C108="Profit",Fin_Analysis!H100,IF(Fin_Analysis!C108="Dividend",Fin_Analysis!H103,Fin_Analysis!H106))</f>
        <v>1.9495142773009608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C10" sqref="C10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234</v>
      </c>
    </row>
    <row r="4" spans="1:6" ht="14" x14ac:dyDescent="0.15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7" x14ac:dyDescent="0.25">
      <c r="B5" s="142" t="s">
        <v>212</v>
      </c>
      <c r="C5" s="241" t="s">
        <v>247</v>
      </c>
      <c r="E5" s="231">
        <f>C18</f>
        <v>45291</v>
      </c>
      <c r="F5" s="232">
        <v>0.15820000000000001</v>
      </c>
    </row>
    <row r="6" spans="1:6" ht="14" x14ac:dyDescent="0.15">
      <c r="B6" s="142" t="s">
        <v>175</v>
      </c>
      <c r="C6" s="196">
        <v>45593</v>
      </c>
      <c r="E6" s="233" t="s">
        <v>224</v>
      </c>
      <c r="F6" s="232">
        <f>F5</f>
        <v>0.15820000000000001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235</v>
      </c>
      <c r="C8" s="198" t="s">
        <v>71</v>
      </c>
    </row>
    <row r="9" spans="1:6" ht="14" x14ac:dyDescent="0.15">
      <c r="B9" s="141" t="s">
        <v>236</v>
      </c>
      <c r="C9" s="199" t="s">
        <v>248</v>
      </c>
    </row>
    <row r="10" spans="1:6" ht="14" x14ac:dyDescent="0.15">
      <c r="B10" s="141" t="s">
        <v>237</v>
      </c>
      <c r="C10" s="200">
        <v>791575204</v>
      </c>
    </row>
    <row r="11" spans="1:6" ht="14" x14ac:dyDescent="0.15">
      <c r="B11" s="141" t="s">
        <v>238</v>
      </c>
      <c r="C11" s="199" t="s">
        <v>242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</v>
      </c>
    </row>
    <row r="14" spans="1:6" ht="14" x14ac:dyDescent="0.15">
      <c r="B14" s="227" t="s">
        <v>240</v>
      </c>
      <c r="C14" s="228">
        <v>45473</v>
      </c>
    </row>
    <row r="15" spans="1:6" ht="14" x14ac:dyDescent="0.15">
      <c r="B15" s="227" t="s">
        <v>239</v>
      </c>
      <c r="C15" s="182" t="s">
        <v>243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10760416</v>
      </c>
      <c r="D19" s="152">
        <v>10722361</v>
      </c>
      <c r="E19" s="152">
        <v>7737943</v>
      </c>
      <c r="F19" s="152">
        <v>4526914</v>
      </c>
      <c r="G19" s="152">
        <v>3573978</v>
      </c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9307367</v>
      </c>
      <c r="D20" s="153">
        <v>9290616</v>
      </c>
      <c r="E20" s="153">
        <v>7340712</v>
      </c>
      <c r="F20" s="153">
        <v>4204600</v>
      </c>
      <c r="G20" s="153">
        <v>3214958</v>
      </c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1606631</v>
      </c>
      <c r="D21" s="153">
        <v>1290315</v>
      </c>
      <c r="E21" s="153">
        <v>359473</v>
      </c>
      <c r="F21" s="153">
        <v>228660</v>
      </c>
      <c r="G21" s="153">
        <v>271638</v>
      </c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>
        <v>202110</v>
      </c>
      <c r="D22" s="153">
        <v>165770</v>
      </c>
      <c r="E22" s="153">
        <v>247000</v>
      </c>
      <c r="F22" s="153">
        <v>56000</v>
      </c>
      <c r="G22" s="153">
        <v>69000</v>
      </c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>
        <v>506463</v>
      </c>
      <c r="D24" s="153">
        <v>1177151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>
        <v>-563737</v>
      </c>
      <c r="D25" s="153">
        <v>193859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25220</v>
      </c>
      <c r="D26" s="153">
        <v>12361</v>
      </c>
      <c r="E26" s="153">
        <v>915</v>
      </c>
      <c r="F26" s="153">
        <v>578</v>
      </c>
      <c r="G26" s="153">
        <v>538</v>
      </c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5821</v>
      </c>
      <c r="D27" s="153">
        <v>22881</v>
      </c>
      <c r="E27" s="153">
        <v>313201</v>
      </c>
      <c r="F27" s="153">
        <v>57218</v>
      </c>
      <c r="G27" s="153">
        <v>0</v>
      </c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>
        <v>3496104</v>
      </c>
      <c r="D40" s="60">
        <v>0.9</v>
      </c>
      <c r="E40" s="113"/>
    </row>
    <row r="41" spans="2:13" ht="14" x14ac:dyDescent="0.15">
      <c r="B41" s="1" t="s">
        <v>146</v>
      </c>
      <c r="C41" s="59">
        <v>41635</v>
      </c>
      <c r="D41" s="60">
        <v>0.8</v>
      </c>
      <c r="E41" s="113"/>
    </row>
    <row r="42" spans="2:13" ht="14" x14ac:dyDescent="0.15">
      <c r="B42" s="3" t="s">
        <v>121</v>
      </c>
      <c r="C42" s="59">
        <v>2820142</v>
      </c>
      <c r="D42" s="60">
        <f>D43</f>
        <v>0.6</v>
      </c>
      <c r="E42" s="113"/>
    </row>
    <row r="43" spans="2:13" ht="14" x14ac:dyDescent="0.15">
      <c r="B43" s="3" t="s">
        <v>42</v>
      </c>
      <c r="C43" s="59">
        <v>405832</v>
      </c>
      <c r="D43" s="60">
        <v>0.6</v>
      </c>
      <c r="E43" s="113"/>
    </row>
    <row r="44" spans="2:13" ht="14" x14ac:dyDescent="0.15">
      <c r="B44" s="3" t="s">
        <v>44</v>
      </c>
      <c r="C44" s="59">
        <v>0</v>
      </c>
      <c r="D44" s="60">
        <v>0.5</v>
      </c>
      <c r="E44" s="113"/>
    </row>
    <row r="45" spans="2:13" ht="14" x14ac:dyDescent="0.15">
      <c r="B45" s="1" t="s">
        <v>170</v>
      </c>
      <c r="C45" s="59">
        <v>0</v>
      </c>
      <c r="D45" s="60">
        <f>D42</f>
        <v>0.6</v>
      </c>
      <c r="E45" s="113"/>
    </row>
    <row r="46" spans="2:13" ht="14" x14ac:dyDescent="0.15">
      <c r="B46" s="3" t="s">
        <v>122</v>
      </c>
      <c r="C46" s="59">
        <v>0</v>
      </c>
      <c r="D46" s="60">
        <v>0.1</v>
      </c>
      <c r="E46" s="113"/>
    </row>
    <row r="47" spans="2:13" ht="14" x14ac:dyDescent="0.15">
      <c r="B47" s="3" t="s">
        <v>47</v>
      </c>
      <c r="C47" s="59">
        <v>1802858</v>
      </c>
      <c r="D47" s="60">
        <f>D44</f>
        <v>0.5</v>
      </c>
      <c r="E47" s="113"/>
    </row>
    <row r="48" spans="2:13" ht="14" x14ac:dyDescent="0.15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>
        <v>0</v>
      </c>
      <c r="D49" s="60">
        <v>0.6</v>
      </c>
      <c r="E49" s="230" t="s">
        <v>46</v>
      </c>
    </row>
    <row r="50" spans="2:5" ht="14" x14ac:dyDescent="0.15">
      <c r="B50" s="3" t="s">
        <v>50</v>
      </c>
      <c r="C50" s="59">
        <v>5684</v>
      </c>
      <c r="D50" s="60">
        <f>D40</f>
        <v>0.9</v>
      </c>
      <c r="E50" s="113"/>
    </row>
    <row r="51" spans="2:5" ht="14" x14ac:dyDescent="0.15">
      <c r="B51" s="35" t="s">
        <v>51</v>
      </c>
      <c r="C51" s="121">
        <v>0</v>
      </c>
      <c r="D51" s="202">
        <f>D62</f>
        <v>0.05</v>
      </c>
      <c r="E51" s="113"/>
    </row>
    <row r="52" spans="2:5" ht="14" x14ac:dyDescent="0.15">
      <c r="B52" s="3" t="s">
        <v>61</v>
      </c>
      <c r="C52" s="59">
        <v>0</v>
      </c>
      <c r="D52" s="60">
        <f>D41</f>
        <v>0.8</v>
      </c>
      <c r="E52" s="113"/>
    </row>
    <row r="53" spans="2:5" ht="14" x14ac:dyDescent="0.15">
      <c r="B53" s="3" t="s">
        <v>63</v>
      </c>
      <c r="C53" s="59">
        <v>41883</v>
      </c>
      <c r="D53" s="60">
        <f>D43</f>
        <v>0.6</v>
      </c>
      <c r="E53" s="113"/>
    </row>
    <row r="54" spans="2:5" ht="14" x14ac:dyDescent="0.15">
      <c r="B54" s="3" t="s">
        <v>65</v>
      </c>
      <c r="C54" s="59">
        <v>0</v>
      </c>
      <c r="D54" s="60">
        <f>D44</f>
        <v>0.5</v>
      </c>
      <c r="E54" s="113"/>
    </row>
    <row r="55" spans="2:5" ht="14" x14ac:dyDescent="0.15">
      <c r="B55" s="1" t="s">
        <v>171</v>
      </c>
      <c r="C55" s="59">
        <v>0</v>
      </c>
      <c r="D55" s="60">
        <f>D54</f>
        <v>0.5</v>
      </c>
      <c r="E55" s="113"/>
    </row>
    <row r="56" spans="2:5" ht="14" x14ac:dyDescent="0.15">
      <c r="B56" s="3" t="s">
        <v>68</v>
      </c>
      <c r="C56" s="59">
        <v>0</v>
      </c>
      <c r="D56" s="60">
        <v>0.4</v>
      </c>
      <c r="E56" s="113"/>
    </row>
    <row r="57" spans="2:5" ht="14" x14ac:dyDescent="0.15">
      <c r="B57" s="3" t="s">
        <v>70</v>
      </c>
      <c r="C57" s="59">
        <v>0</v>
      </c>
      <c r="D57" s="60">
        <v>0.1</v>
      </c>
      <c r="E57" s="230" t="s">
        <v>71</v>
      </c>
    </row>
    <row r="58" spans="2:5" ht="14" x14ac:dyDescent="0.15">
      <c r="B58" s="3" t="s">
        <v>72</v>
      </c>
      <c r="C58" s="59">
        <v>0</v>
      </c>
      <c r="D58" s="60">
        <v>0.2</v>
      </c>
      <c r="E58" s="230" t="s">
        <v>71</v>
      </c>
    </row>
    <row r="59" spans="2:5" ht="14" x14ac:dyDescent="0.15">
      <c r="B59" s="1" t="s">
        <v>49</v>
      </c>
      <c r="C59" s="59">
        <v>0</v>
      </c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>
        <v>2128034</v>
      </c>
      <c r="D60" s="60">
        <f>D57</f>
        <v>0.1</v>
      </c>
      <c r="E60" s="113"/>
    </row>
    <row r="61" spans="2:5" ht="14" x14ac:dyDescent="0.15">
      <c r="B61" s="3" t="s">
        <v>73</v>
      </c>
      <c r="C61" s="59">
        <v>0</v>
      </c>
      <c r="D61" s="60">
        <f>D62</f>
        <v>0.05</v>
      </c>
      <c r="E61" s="113"/>
    </row>
    <row r="62" spans="2:5" ht="14" x14ac:dyDescent="0.15">
      <c r="B62" s="3" t="s">
        <v>74</v>
      </c>
      <c r="C62" s="59">
        <v>27391</v>
      </c>
      <c r="D62" s="60">
        <v>0.05</v>
      </c>
      <c r="E62" s="113"/>
    </row>
    <row r="63" spans="2:5" ht="14" x14ac:dyDescent="0.15">
      <c r="B63" s="3" t="s">
        <v>75</v>
      </c>
      <c r="C63" s="59">
        <v>38865</v>
      </c>
      <c r="D63" s="60">
        <f>D50</f>
        <v>0.9</v>
      </c>
      <c r="E63" s="113"/>
    </row>
    <row r="64" spans="2:5" ht="14" x14ac:dyDescent="0.15">
      <c r="B64" s="3" t="s">
        <v>76</v>
      </c>
      <c r="C64" s="59">
        <v>0</v>
      </c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>
        <v>174488</v>
      </c>
    </row>
    <row r="67" spans="2:3" ht="14" x14ac:dyDescent="0.15">
      <c r="B67" s="3" t="s">
        <v>40</v>
      </c>
      <c r="C67" s="59">
        <v>11884</v>
      </c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>
        <v>5753095</v>
      </c>
    </row>
    <row r="71" spans="2:3" ht="15" thickTop="1" x14ac:dyDescent="0.15">
      <c r="B71" s="3" t="s">
        <v>62</v>
      </c>
      <c r="C71" s="59">
        <v>432202</v>
      </c>
    </row>
    <row r="72" spans="2:3" ht="14" x14ac:dyDescent="0.15">
      <c r="B72" s="3" t="s">
        <v>64</v>
      </c>
      <c r="C72" s="59">
        <v>17265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>
        <v>638511</v>
      </c>
    </row>
    <row r="76" spans="2:3" ht="15" thickTop="1" x14ac:dyDescent="0.15">
      <c r="B76" s="73" t="s">
        <v>241</v>
      </c>
      <c r="C76" s="59">
        <v>4357429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-186563.33333333334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10760416</v>
      </c>
      <c r="D6" s="209">
        <f>IF(Inputs!D19="","",Inputs!D19)</f>
        <v>10722361</v>
      </c>
      <c r="E6" s="209">
        <f>IF(Inputs!E19="","",Inputs!E19)</f>
        <v>7737943</v>
      </c>
      <c r="F6" s="209">
        <f>IF(Inputs!F19="","",Inputs!F19)</f>
        <v>4526914</v>
      </c>
      <c r="G6" s="209">
        <f>IF(Inputs!G19="","",Inputs!G19)</f>
        <v>3573978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9307367</v>
      </c>
      <c r="D8" s="208">
        <f>IF(Inputs!D20="","",Inputs!D20)</f>
        <v>9290616</v>
      </c>
      <c r="E8" s="208">
        <f>IF(Inputs!E20="","",Inputs!E20)</f>
        <v>7340712</v>
      </c>
      <c r="F8" s="208">
        <f>IF(Inputs!F20="","",Inputs!F20)</f>
        <v>4204600</v>
      </c>
      <c r="G8" s="208">
        <f>IF(Inputs!G20="","",Inputs!G20)</f>
        <v>3214958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1453049</v>
      </c>
      <c r="D9" s="154">
        <f t="shared" si="2"/>
        <v>1431745</v>
      </c>
      <c r="E9" s="154">
        <f t="shared" si="2"/>
        <v>397231</v>
      </c>
      <c r="F9" s="154">
        <f t="shared" si="2"/>
        <v>322314</v>
      </c>
      <c r="G9" s="154">
        <f t="shared" si="2"/>
        <v>359020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1606631</v>
      </c>
      <c r="D10" s="208">
        <f>IF(Inputs!D21="","",Inputs!D21)</f>
        <v>1290315</v>
      </c>
      <c r="E10" s="208">
        <f>IF(Inputs!E21="","",Inputs!E21)</f>
        <v>359473</v>
      </c>
      <c r="F10" s="208">
        <f>IF(Inputs!F21="","",Inputs!F21)</f>
        <v>228660</v>
      </c>
      <c r="G10" s="208">
        <f>IF(Inputs!G21="","",Inputs!G21)</f>
        <v>271638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>
        <f>IF(OR(C6="",C12=""),"",C12/C6)</f>
        <v>1.8782731076568044E-2</v>
      </c>
      <c r="D11" s="155">
        <f t="shared" ref="D11:M11" si="3">IF(OR(D6="",D12=""),"",D12/D6)</f>
        <v>1.5460214406136857E-2</v>
      </c>
      <c r="E11" s="155">
        <f t="shared" si="3"/>
        <v>3.1920628001524433E-2</v>
      </c>
      <c r="F11" s="155">
        <f t="shared" si="3"/>
        <v>1.237045810898992E-2</v>
      </c>
      <c r="G11" s="155">
        <f t="shared" si="3"/>
        <v>1.9306218449022351E-2</v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>
        <f>IF(Inputs!C22="","",Inputs!C22)</f>
        <v>202110</v>
      </c>
      <c r="D12" s="208">
        <f>IF(Inputs!D22="","",Inputs!D22)</f>
        <v>165770</v>
      </c>
      <c r="E12" s="208">
        <f>IF(Inputs!E22="","",Inputs!E22)</f>
        <v>247000</v>
      </c>
      <c r="F12" s="208">
        <f>IF(Inputs!F22="","",Inputs!F22)</f>
        <v>56000</v>
      </c>
      <c r="G12" s="208">
        <f>IF(Inputs!G22="","",Inputs!G22)</f>
        <v>69000</v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48528</v>
      </c>
      <c r="D13" s="154">
        <f t="shared" ref="D13:M13" si="4">IF(D6="","",(D9-D10+MAX(D12,0)))</f>
        <v>307200</v>
      </c>
      <c r="E13" s="154">
        <f t="shared" si="4"/>
        <v>284758</v>
      </c>
      <c r="F13" s="154">
        <f t="shared" si="4"/>
        <v>149654</v>
      </c>
      <c r="G13" s="154">
        <f t="shared" si="4"/>
        <v>156382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>
        <f>IF(Inputs!C24="","",Inputs!C24)</f>
        <v>506463</v>
      </c>
      <c r="D15" s="208">
        <f>IF(Inputs!D24="","",Inputs!D24)</f>
        <v>1177151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>
        <f>IF(Inputs!C25="","",Inputs!C25)</f>
        <v>-563737</v>
      </c>
      <c r="D16" s="208">
        <f>IF(Inputs!D25="","",Inputs!D25)</f>
        <v>193859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25220</v>
      </c>
      <c r="D17" s="208">
        <f>IF(Inputs!D26="","",Inputs!D26)</f>
        <v>12361</v>
      </c>
      <c r="E17" s="208">
        <f>IF(Inputs!E26="","",Inputs!E26)</f>
        <v>915</v>
      </c>
      <c r="F17" s="208">
        <f>IF(Inputs!F26="","",Inputs!F26)</f>
        <v>578</v>
      </c>
      <c r="G17" s="208">
        <f>IF(Inputs!G26="","",Inputs!G26)</f>
        <v>538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5821</v>
      </c>
      <c r="D18" s="208">
        <f>IF(Inputs!D27="","",Inputs!D27)</f>
        <v>22881</v>
      </c>
      <c r="E18" s="208">
        <f>IF(Inputs!E27="","",Inputs!E27)</f>
        <v>313201</v>
      </c>
      <c r="F18" s="208">
        <f>IF(Inputs!F27="","",Inputs!F27)</f>
        <v>57218</v>
      </c>
      <c r="G18" s="208">
        <f>IF(Inputs!G27="","",Inputs!G27)</f>
        <v>0</v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-186563.33333333334</v>
      </c>
      <c r="D19" s="237">
        <f>IF(D6="","",D9-D10-MAX(D17,0)-MAX(D18,0)/(1-Fin_Analysis!$I$84))</f>
        <v>98561</v>
      </c>
      <c r="E19" s="237">
        <f>IF(E6="","",E9-E10-MAX(E17,0)-MAX(E18,0)/(1-Fin_Analysis!$I$84))</f>
        <v>-380758.33333333331</v>
      </c>
      <c r="F19" s="237">
        <f>IF(F6="","",F9-F10-MAX(F17,0)-MAX(F18,0)/(1-Fin_Analysis!$I$84))</f>
        <v>16785.333333333328</v>
      </c>
      <c r="G19" s="237">
        <f>IF(G6="","",G9-G10-MAX(G17,0)-MAX(G18,0)/(1-Fin_Analysis!$I$84))</f>
        <v>86844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 t="str">
        <f>IF(D19="","",IF(ABS(C19+D19)=ABS(C19)+ABS(D19),IF(C19&lt;0,-1,1)*(C19-D19)/D19,"Turn"))</f>
        <v>Turn</v>
      </c>
      <c r="D20" s="238" t="str">
        <f t="shared" ref="D20:M20" si="5">IF(E19="","",IF(ABS(D19+E19)=ABS(D19)+ABS(E19),IF(D19&lt;0,-1,1)*(D19-E19)/E19,"Turn"))</f>
        <v>Turn</v>
      </c>
      <c r="E20" s="238" t="str">
        <f t="shared" si="5"/>
        <v>Turn</v>
      </c>
      <c r="F20" s="238">
        <f t="shared" si="5"/>
        <v>-0.80671856048393298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-490916.33333333331</v>
      </c>
      <c r="D21" s="77">
        <f>IF(D6="","",D13-MAX(D14,0)-MAX(D15,0)-MAX(D16,0)-MAX(D17,0)-MAX(D18,0)/(1-Fin_Analysis!$I$84))</f>
        <v>-1106679</v>
      </c>
      <c r="E21" s="77">
        <f>IF(E6="","",E13-MAX(E14,0)-MAX(E15,0)-MAX(E16,0)-MAX(E17,0)-MAX(E18,0)/(1-Fin_Analysis!$I$84))</f>
        <v>-133758.33333333331</v>
      </c>
      <c r="F21" s="77">
        <f>IF(F6="","",F13-MAX(F14,0)-MAX(F15,0)-MAX(F16,0)-MAX(F17,0)-MAX(F18,0)/(1-Fin_Analysis!$I$84))</f>
        <v>72785.333333333328</v>
      </c>
      <c r="G21" s="77">
        <f>IF(G6="","",G13-MAX(G14,0)-MAX(G15,0)-MAX(G16,0)-MAX(G17,0)-MAX(G18,0)/(1-Fin_Analysis!$I$84))</f>
        <v>155844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0.55640584728423215</v>
      </c>
      <c r="D22" s="156">
        <f t="shared" ref="D22:M22" si="6">IF(E21="","",IF(ABS(D21+E21)=ABS(D21)+ABS(E21),IF(D21&lt;0,-1,1)*(D21-E21)/E21,"Turn"))</f>
        <v>-7.2737200174443979</v>
      </c>
      <c r="E22" s="156" t="str">
        <f t="shared" si="6"/>
        <v>Turn</v>
      </c>
      <c r="F22" s="156">
        <f t="shared" si="6"/>
        <v>-0.53296031073808858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-3.4216823029890292E-2</v>
      </c>
      <c r="D23" s="157">
        <f t="shared" si="7"/>
        <v>-7.7409187211659819E-2</v>
      </c>
      <c r="E23" s="157">
        <f t="shared" si="7"/>
        <v>-1.2964524292825623E-2</v>
      </c>
      <c r="F23" s="157">
        <f t="shared" si="7"/>
        <v>1.2058766744850907E-2</v>
      </c>
      <c r="G23" s="157">
        <f t="shared" si="7"/>
        <v>3.2703894651841731E-2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-368187.25</v>
      </c>
      <c r="D24" s="77">
        <f>IF(D6="","",D21*(1-Fin_Analysis!$I$84))</f>
        <v>-830009.25</v>
      </c>
      <c r="E24" s="77">
        <f>IF(E6="","",E21*(1-Fin_Analysis!$I$84))</f>
        <v>-100318.74999999999</v>
      </c>
      <c r="F24" s="77">
        <f>IF(F6="","",F21*(1-Fin_Analysis!$I$84))</f>
        <v>54589</v>
      </c>
      <c r="G24" s="77">
        <f>IF(G6="","",G21*(1-Fin_Analysis!$I$84))</f>
        <v>116883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0.55640584728423204</v>
      </c>
      <c r="D25" s="159">
        <f t="shared" ref="D25:M25" si="8">IF(E24="","",IF(ABS(D24+E24)=ABS(D24)+ABS(E24),IF(D24&lt;0,-1,1)*(D24-E24)/E24,"Turn"))</f>
        <v>-7.273720017444397</v>
      </c>
      <c r="E25" s="159" t="str">
        <f t="shared" si="8"/>
        <v>Turn</v>
      </c>
      <c r="F25" s="159">
        <f t="shared" si="8"/>
        <v>-0.53296031073808847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10808428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8572255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2820142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1802858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5753095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638511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186372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449467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635839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4416822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59393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3943819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6864609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>
        <f t="shared" ref="C40" si="31">IF(C6="","",C21/C39)</f>
        <v>-7.1514099831954489E-2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0.8649634921177769</v>
      </c>
      <c r="D42" s="161">
        <f t="shared" si="33"/>
        <v>0.86647110650350234</v>
      </c>
      <c r="E42" s="161">
        <f t="shared" si="33"/>
        <v>0.94866452234140264</v>
      </c>
      <c r="F42" s="161">
        <f t="shared" si="33"/>
        <v>0.92880050294748251</v>
      </c>
      <c r="G42" s="161">
        <f t="shared" si="33"/>
        <v>0.89954610800626078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0.13052664506651043</v>
      </c>
      <c r="D43" s="157">
        <f t="shared" ref="D43:M43" si="34">IF(D6="","",(D10-MAX(D12,0))/D6)</f>
        <v>0.10487848711678333</v>
      </c>
      <c r="E43" s="157">
        <f t="shared" si="34"/>
        <v>1.4535258272127359E-2</v>
      </c>
      <c r="F43" s="157">
        <f t="shared" si="34"/>
        <v>3.8140773162467854E-2</v>
      </c>
      <c r="G43" s="157">
        <f t="shared" si="34"/>
        <v>5.6698166580767984E-2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4.7067232344920495E-2</v>
      </c>
      <c r="D44" s="157">
        <f t="shared" ref="D44:M44" si="35">IF(D6="","",(MAX(D14,0)+MAX(D15,0))/D6)</f>
        <v>0.10978468268322621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1.8079879981657027E-2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2.3437755566327548E-3</v>
      </c>
      <c r="D46" s="157">
        <f t="shared" ref="D46:M46" si="37">IF(D6="","",MAX(D17,0)/D6)</f>
        <v>1.152824457225419E-3</v>
      </c>
      <c r="E46" s="157">
        <f t="shared" si="37"/>
        <v>1.1824848024856219E-4</v>
      </c>
      <c r="F46" s="157">
        <f t="shared" si="37"/>
        <v>1.2768079976778883E-4</v>
      </c>
      <c r="G46" s="157">
        <f t="shared" si="37"/>
        <v>1.505325438488989E-4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7.2128562067984476E-4</v>
      </c>
      <c r="D47" s="157">
        <f>IF(D6="","",MAX(D18,0)/(1-Fin_Analysis!$I$84)/D6)</f>
        <v>2.8452688731520977E-3</v>
      </c>
      <c r="E47" s="157">
        <f>IF(E6="","",MAX(E18,0)/(1-Fin_Analysis!$I$84)/E6)</f>
        <v>5.3968003296655624E-2</v>
      </c>
      <c r="F47" s="157">
        <f>IF(F6="","",MAX(F18,0)/(1-Fin_Analysis!$I$84)/F6)</f>
        <v>1.6852687430480604E-2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-4.5622430706520389E-2</v>
      </c>
      <c r="D48" s="157">
        <f t="shared" si="38"/>
        <v>-0.10321224961554643</v>
      </c>
      <c r="E48" s="157">
        <f t="shared" si="38"/>
        <v>-1.7286032390434164E-2</v>
      </c>
      <c r="F48" s="157">
        <f t="shared" si="38"/>
        <v>1.6078355659801209E-2</v>
      </c>
      <c r="G48" s="157">
        <f t="shared" si="38"/>
        <v>4.3605192869122303E-2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0.26208484876421134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0.16754538114511558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>
        <f>IF(C36="","",(C27-C36)/C27)</f>
        <v>0.59135389531206572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>
        <f>IF(OR(C21="",C35=""),"",IF(C35&lt;=0,"-",C21/C35))</f>
        <v>-0.77207647428568127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-5.1373316159101109E-2</v>
      </c>
      <c r="D55" s="157">
        <f t="shared" ref="D55:M55" si="43">IF(D21="","",IF(MAX(D17,0)&lt;=0,"-",D17/D21))</f>
        <v>-1.1169453834400038E-2</v>
      </c>
      <c r="E55" s="157">
        <f t="shared" si="43"/>
        <v>-6.8406952837829433E-3</v>
      </c>
      <c r="F55" s="157">
        <f t="shared" si="43"/>
        <v>7.9411603070215619E-3</v>
      </c>
      <c r="G55" s="157">
        <f t="shared" si="43"/>
        <v>3.4521701188367855E-3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>
        <f t="shared" ref="C56:M56" si="44">IF(C28="","",C28/C31)</f>
        <v>1.4900249344048726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24" zoomScaleNormal="100" workbookViewId="0">
      <selection activeCell="D101" sqref="D10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4416822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4357429</v>
      </c>
      <c r="K3" s="24"/>
    </row>
    <row r="4" spans="1:11" ht="15" customHeight="1" x14ac:dyDescent="0.15">
      <c r="B4" s="3" t="s">
        <v>25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1.4900249344048726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-166326.68469751519</v>
      </c>
      <c r="E6" s="56">
        <f>1-D6/D3</f>
        <v>1.0376575475981407</v>
      </c>
      <c r="F6" s="87"/>
      <c r="G6" s="87"/>
      <c r="H6" s="1" t="s">
        <v>30</v>
      </c>
      <c r="I6" s="63">
        <f>(C24+C25)/I28</f>
        <v>1.1756650985252286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1.1756650985252286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3496104</v>
      </c>
      <c r="D11" s="207">
        <f>Inputs!D40</f>
        <v>0.9</v>
      </c>
      <c r="E11" s="88">
        <f t="shared" ref="E11:E22" si="0">C11*D11</f>
        <v>3146493.6</v>
      </c>
      <c r="F11" s="113"/>
      <c r="G11" s="87"/>
      <c r="H11" s="3" t="s">
        <v>39</v>
      </c>
      <c r="I11" s="40">
        <f>Inputs!C66</f>
        <v>174488</v>
      </c>
      <c r="J11" s="87"/>
      <c r="K11" s="24"/>
    </row>
    <row r="12" spans="1:11" ht="14" x14ac:dyDescent="0.15">
      <c r="B12" s="1" t="s">
        <v>146</v>
      </c>
      <c r="C12" s="40">
        <f>Inputs!C41</f>
        <v>41635</v>
      </c>
      <c r="D12" s="207">
        <f>Inputs!D41</f>
        <v>0.8</v>
      </c>
      <c r="E12" s="88">
        <f t="shared" si="0"/>
        <v>33308</v>
      </c>
      <c r="F12" s="113"/>
      <c r="G12" s="87"/>
      <c r="H12" s="3" t="s">
        <v>40</v>
      </c>
      <c r="I12" s="40">
        <f>Inputs!C67</f>
        <v>11884</v>
      </c>
      <c r="J12" s="87"/>
      <c r="K12" s="24"/>
    </row>
    <row r="13" spans="1:11" ht="14" x14ac:dyDescent="0.15">
      <c r="B13" s="3" t="s">
        <v>121</v>
      </c>
      <c r="C13" s="40">
        <f>Inputs!C42</f>
        <v>2820142</v>
      </c>
      <c r="D13" s="207">
        <f>Inputs!D42</f>
        <v>0.6</v>
      </c>
      <c r="E13" s="88">
        <f t="shared" si="0"/>
        <v>1692085.2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405832</v>
      </c>
      <c r="D14" s="207">
        <f>Inputs!D43</f>
        <v>0.6</v>
      </c>
      <c r="E14" s="88">
        <f t="shared" si="0"/>
        <v>243499.19999999998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186372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1802858</v>
      </c>
      <c r="D18" s="207">
        <f>Inputs!D47</f>
        <v>0.5</v>
      </c>
      <c r="E18" s="88">
        <f t="shared" si="0"/>
        <v>901429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5684</v>
      </c>
      <c r="D21" s="207">
        <f>Inputs!D50</f>
        <v>0.9</v>
      </c>
      <c r="E21" s="88">
        <f t="shared" si="0"/>
        <v>5115.6000000000004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5566723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4">
        <f>E24/$E$28</f>
        <v>0.84945947400987987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>
        <f>E25/$E$28</f>
        <v>0</v>
      </c>
      <c r="G25" s="87"/>
      <c r="H25" s="23" t="s">
        <v>56</v>
      </c>
      <c r="I25" s="63">
        <f>E28/I28</f>
        <v>1.046728865071757</v>
      </c>
    </row>
    <row r="26" spans="2:10" ht="15" customHeight="1" x14ac:dyDescent="0.15">
      <c r="B26" s="23" t="s">
        <v>57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4">
        <f>E26/$E$28</f>
        <v>0.14969103097933412</v>
      </c>
      <c r="G26" s="87"/>
      <c r="H26" s="23" t="s">
        <v>58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4">
        <f>E27/$E$28</f>
        <v>8.4949501078607594E-4</v>
      </c>
      <c r="G27" s="87"/>
      <c r="H27" s="23" t="s">
        <v>60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3"/>
      <c r="G28" s="87"/>
      <c r="H28" s="78" t="s">
        <v>16</v>
      </c>
      <c r="I28" s="215">
        <f>Inputs!C70</f>
        <v>5753095</v>
      </c>
      <c r="J28" s="32">
        <f>IF(J26="",1,0)+IF(J27="",1,0)+IF(J46="",1,0)+IF(J47="",1,0)</f>
        <v>4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432202</v>
      </c>
      <c r="J30" s="87"/>
    </row>
    <row r="31" spans="2:10" ht="15" customHeight="1" x14ac:dyDescent="0.15">
      <c r="B31" s="3" t="s">
        <v>63</v>
      </c>
      <c r="C31" s="40">
        <f>Inputs!C53</f>
        <v>41883</v>
      </c>
      <c r="D31" s="207">
        <f>Inputs!D53</f>
        <v>0.6</v>
      </c>
      <c r="E31" s="88">
        <f t="shared" ref="E31:E42" si="1">C31*D31</f>
        <v>25129.8</v>
      </c>
      <c r="F31" s="113"/>
      <c r="G31" s="87"/>
      <c r="H31" s="3" t="s">
        <v>64</v>
      </c>
      <c r="I31" s="40">
        <f>Inputs!C72</f>
        <v>17265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449467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2128034</v>
      </c>
      <c r="D38" s="207">
        <f>Inputs!D60</f>
        <v>0.1</v>
      </c>
      <c r="E38" s="88">
        <f t="shared" si="1"/>
        <v>212803.40000000002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27391</v>
      </c>
      <c r="D40" s="207">
        <f>Inputs!D62</f>
        <v>0.05</v>
      </c>
      <c r="E40" s="88">
        <f t="shared" si="1"/>
        <v>1369.5500000000002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38865</v>
      </c>
      <c r="D41" s="207">
        <f>Inputs!D63</f>
        <v>0.9</v>
      </c>
      <c r="E41" s="88">
        <f t="shared" si="1"/>
        <v>34978.5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189044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81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83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85</v>
      </c>
      <c r="I48" s="216">
        <f>Inputs!C75</f>
        <v>638511</v>
      </c>
      <c r="J48" s="8"/>
    </row>
    <row r="49" spans="2:11" ht="15" customHeight="1" thickTop="1" x14ac:dyDescent="0.15">
      <c r="B49" s="3" t="s">
        <v>14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86</v>
      </c>
      <c r="I49" s="52">
        <f>I28+I48</f>
        <v>6391606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635839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3496104</v>
      </c>
      <c r="D62" s="108">
        <f t="shared" si="2"/>
        <v>0.9</v>
      </c>
      <c r="E62" s="119">
        <f>E11+E30</f>
        <v>3146493.6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635839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5755767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10760416</v>
      </c>
      <c r="D74" s="218"/>
      <c r="E74" s="205">
        <f>H74</f>
        <v>10760416</v>
      </c>
      <c r="F74" s="218"/>
      <c r="H74" s="205">
        <f>C74</f>
        <v>10760416</v>
      </c>
      <c r="I74" s="218"/>
      <c r="K74" s="24"/>
    </row>
    <row r="75" spans="1:11" ht="15" customHeight="1" x14ac:dyDescent="0.15">
      <c r="B75" s="105" t="s">
        <v>109</v>
      </c>
      <c r="C75" s="77">
        <f>Data!C8</f>
        <v>9307367</v>
      </c>
      <c r="D75" s="164">
        <f>C75/$C$74</f>
        <v>0.8649634921177769</v>
      </c>
      <c r="E75" s="186">
        <f>E74*F75</f>
        <v>9307367</v>
      </c>
      <c r="F75" s="165">
        <f>I75</f>
        <v>0.8649634921177769</v>
      </c>
      <c r="H75" s="205">
        <f>D75*H74</f>
        <v>9307367</v>
      </c>
      <c r="I75" s="165">
        <f>H75/$H$74</f>
        <v>0.8649634921177769</v>
      </c>
      <c r="K75" s="24"/>
    </row>
    <row r="76" spans="1:11" ht="15" customHeight="1" x14ac:dyDescent="0.15">
      <c r="B76" s="35" t="s">
        <v>96</v>
      </c>
      <c r="C76" s="166">
        <f>C74-C75</f>
        <v>1453049</v>
      </c>
      <c r="D76" s="219"/>
      <c r="E76" s="167">
        <f>E74-E75</f>
        <v>1453049</v>
      </c>
      <c r="F76" s="219"/>
      <c r="H76" s="167">
        <f>H74-H75</f>
        <v>1453049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1404521</v>
      </c>
      <c r="D77" s="164">
        <f>C77/$C$74</f>
        <v>0.13052664506651043</v>
      </c>
      <c r="E77" s="186">
        <f>E74*F77</f>
        <v>1404521</v>
      </c>
      <c r="F77" s="165">
        <f>I77</f>
        <v>0.13052664506651043</v>
      </c>
      <c r="H77" s="205">
        <f>D77*H74</f>
        <v>1404521</v>
      </c>
      <c r="I77" s="165">
        <f>H77/$H$74</f>
        <v>0.13052664506651043</v>
      </c>
      <c r="K77" s="24"/>
    </row>
    <row r="78" spans="1:11" ht="15" customHeight="1" x14ac:dyDescent="0.15">
      <c r="B78" s="35" t="s">
        <v>97</v>
      </c>
      <c r="C78" s="166">
        <f>C76-C77</f>
        <v>48528</v>
      </c>
      <c r="D78" s="219"/>
      <c r="E78" s="167">
        <f>E76-E77</f>
        <v>48528</v>
      </c>
      <c r="F78" s="219"/>
      <c r="H78" s="167">
        <f>H76-H77</f>
        <v>48528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25220</v>
      </c>
      <c r="D79" s="164">
        <f>C79/$C$74</f>
        <v>2.3437755566327548E-3</v>
      </c>
      <c r="E79" s="186">
        <f>E74*F79</f>
        <v>25220</v>
      </c>
      <c r="F79" s="165">
        <f t="shared" ref="F79:F84" si="3">I79</f>
        <v>2.3437755566327548E-3</v>
      </c>
      <c r="H79" s="205">
        <f>C79</f>
        <v>25220</v>
      </c>
      <c r="I79" s="165">
        <f>H79/$H$74</f>
        <v>2.3437755566327548E-3</v>
      </c>
      <c r="K79" s="24"/>
    </row>
    <row r="80" spans="1:11" ht="15" customHeight="1" x14ac:dyDescent="0.15">
      <c r="B80" s="28" t="s">
        <v>135</v>
      </c>
      <c r="C80" s="77">
        <f>MAX(Data!C14,0)+MAX(Data!C15,0)</f>
        <v>506463</v>
      </c>
      <c r="D80" s="164">
        <f>C80/$C$74</f>
        <v>4.7067232344920495E-2</v>
      </c>
      <c r="E80" s="186">
        <f>E74*F80</f>
        <v>506463</v>
      </c>
      <c r="F80" s="165">
        <f t="shared" si="3"/>
        <v>4.7067232344920495E-2</v>
      </c>
      <c r="H80" s="205">
        <f>H74*D80</f>
        <v>506463</v>
      </c>
      <c r="I80" s="165">
        <f>H80/$H$74</f>
        <v>4.7067232344920495E-2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5821</v>
      </c>
      <c r="D82" s="164">
        <f>C82/$C$74</f>
        <v>5.409642155098836E-4</v>
      </c>
      <c r="E82" s="186">
        <f>E74*F82</f>
        <v>5821</v>
      </c>
      <c r="F82" s="165">
        <f t="shared" si="3"/>
        <v>5.409642155098836E-4</v>
      </c>
      <c r="H82" s="205">
        <f>H74*D82</f>
        <v>5821</v>
      </c>
      <c r="I82" s="165">
        <f>H82/$H$74</f>
        <v>5.409642155098836E-4</v>
      </c>
      <c r="K82" s="24"/>
    </row>
    <row r="83" spans="1:11" ht="15" customHeight="1" thickBot="1" x14ac:dyDescent="0.2">
      <c r="B83" s="106" t="s">
        <v>134</v>
      </c>
      <c r="C83" s="168">
        <f>C78-C79-C80-C81-C82</f>
        <v>-488976</v>
      </c>
      <c r="D83" s="169">
        <f>C83/$C$74</f>
        <v>-4.5442109301350432E-2</v>
      </c>
      <c r="E83" s="170">
        <f>E78-E79-E80-E81-E82</f>
        <v>-488976</v>
      </c>
      <c r="F83" s="169">
        <f>E83/E74</f>
        <v>-4.5442109301350432E-2</v>
      </c>
      <c r="H83" s="170">
        <f>H78-H79-H80-H81-H82</f>
        <v>-488976</v>
      </c>
      <c r="I83" s="169">
        <f>H83/$H$74</f>
        <v>-4.5442109301350432E-2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-366732</v>
      </c>
      <c r="D85" s="171">
        <f>C85/$C$74</f>
        <v>-3.4081581976012826E-2</v>
      </c>
      <c r="E85" s="172">
        <f>E83*(1-F84)</f>
        <v>-366732</v>
      </c>
      <c r="F85" s="171">
        <f>E85/E74</f>
        <v>-3.4081581976012826E-2</v>
      </c>
      <c r="H85" s="172">
        <f>H83*(1-I84)</f>
        <v>-366732</v>
      </c>
      <c r="I85" s="171">
        <f>H85/$H$74</f>
        <v>-3.4081581976012826E-2</v>
      </c>
      <c r="K85" s="24"/>
    </row>
    <row r="86" spans="1:11" ht="15" customHeight="1" x14ac:dyDescent="0.15">
      <c r="B86" s="87" t="s">
        <v>172</v>
      </c>
      <c r="C86" s="173">
        <f>C85*Data!C4/Common_Shares</f>
        <v>-0.463293946231292</v>
      </c>
      <c r="D86" s="218"/>
      <c r="E86" s="174">
        <f>E85*Data!C4/Common_Shares</f>
        <v>-0.463293946231292</v>
      </c>
      <c r="F86" s="218"/>
      <c r="H86" s="174">
        <f>H85*Data!C4/Common_Shares</f>
        <v>-0.463293946231292</v>
      </c>
      <c r="I86" s="218"/>
      <c r="K86" s="24"/>
    </row>
    <row r="87" spans="1:11" ht="15" customHeight="1" x14ac:dyDescent="0.15">
      <c r="B87" s="87" t="s">
        <v>227</v>
      </c>
      <c r="C87" s="165">
        <f>C86*Exchange_Rate/Dashboard!G3</f>
        <v>-9.2879282549307607E-2</v>
      </c>
      <c r="D87" s="218"/>
      <c r="E87" s="239">
        <f>E86*Exchange_Rate/Dashboard!G3</f>
        <v>-9.2879282549307607E-2</v>
      </c>
      <c r="F87" s="218"/>
      <c r="H87" s="239">
        <f>H86*Exchange_Rate/Dashboard!G3</f>
        <v>-9.2879282549307607E-2</v>
      </c>
      <c r="I87" s="218"/>
      <c r="K87" s="24"/>
    </row>
    <row r="88" spans="1:11" ht="15" customHeight="1" x14ac:dyDescent="0.15">
      <c r="B88" s="86" t="s">
        <v>226</v>
      </c>
      <c r="C88" s="175">
        <f>Inputs!F5</f>
        <v>0.15820000000000001</v>
      </c>
      <c r="D88" s="171">
        <f>C88/C86</f>
        <v>-0.34146787646782939</v>
      </c>
      <c r="E88" s="204">
        <f>H88</f>
        <v>0.15820000000000001</v>
      </c>
      <c r="F88" s="171">
        <f>E88/E86</f>
        <v>-0.34146787646782939</v>
      </c>
      <c r="H88" s="176">
        <f>Inputs!F6</f>
        <v>0.15820000000000001</v>
      </c>
      <c r="I88" s="171">
        <f>H88/H86</f>
        <v>-0.34146787646782939</v>
      </c>
      <c r="K88" s="24"/>
    </row>
    <row r="89" spans="1:11" ht="15" customHeight="1" x14ac:dyDescent="0.15">
      <c r="B89" s="87" t="s">
        <v>245</v>
      </c>
      <c r="C89" s="165">
        <f>C88*Exchange_Rate/Dashboard!G3</f>
        <v>3.1715291379967592E-2</v>
      </c>
      <c r="D89" s="218"/>
      <c r="E89" s="165">
        <f>E88*Exchange_Rate/Dashboard!G3</f>
        <v>3.1715291379967592E-2</v>
      </c>
      <c r="F89" s="218"/>
      <c r="H89" s="165">
        <f>H88*Exchange_Rate/Dashboard!G3</f>
        <v>3.1715291379967592E-2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-3.952296864702983</v>
      </c>
      <c r="H93" s="87" t="s">
        <v>228</v>
      </c>
      <c r="I93" s="146">
        <f>FV(H87,D93,0,-(H86/C93))</f>
        <v>-3.952296864702983</v>
      </c>
      <c r="K93" s="24"/>
    </row>
    <row r="94" spans="1:11" ht="15" customHeight="1" x14ac:dyDescent="0.15">
      <c r="B94" s="1" t="s">
        <v>230</v>
      </c>
      <c r="C94" s="188">
        <f>Dashboard!G20</f>
        <v>0.25</v>
      </c>
      <c r="D94" s="147"/>
      <c r="E94" s="87" t="s">
        <v>229</v>
      </c>
      <c r="F94" s="146">
        <f>FV(E89,D93,0,-(E88/C93))</f>
        <v>2.5684630347999806</v>
      </c>
      <c r="H94" s="87" t="s">
        <v>229</v>
      </c>
      <c r="I94" s="146">
        <f>FV(H89,D93,0,-(H88/C93))</f>
        <v>2.5684630347999806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15">
      <c r="B97" s="1" t="s">
        <v>140</v>
      </c>
      <c r="C97" s="91">
        <f>H97*Common_Shares/Data!C4</f>
        <v>-2374623.9281698731</v>
      </c>
      <c r="E97" s="124">
        <f>PV(C94,D93,0,-F93)*Exchange_Rate</f>
        <v>-1.3916387718192751</v>
      </c>
      <c r="F97" s="124">
        <f>PV(C93,D93,0,-F93)*Exchange_Rate</f>
        <v>-2.9998715424262747</v>
      </c>
      <c r="H97" s="124">
        <f>PV(C93,D93,0,-I93)*Exchange_Rate</f>
        <v>-2.9998715424262747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63820.806728720665</v>
      </c>
      <c r="E98" s="222"/>
      <c r="F98" s="222"/>
      <c r="H98" s="124">
        <f>C98*Data!$C$4/Common_Shares</f>
        <v>8.0625070626543616E-2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-102505.87796879451</v>
      </c>
      <c r="E99" s="223"/>
      <c r="F99" s="148">
        <f>IF(H99&gt;0,H99*0.85,H99*1.15)</f>
        <v>-0.14892048041478781</v>
      </c>
      <c r="H99" s="148">
        <f>C99*Data!$C$4/Common_Shares</f>
        <v>-0.12949606992590246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-2540950.6128673884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15">
      <c r="B103" s="1" t="s">
        <v>173</v>
      </c>
      <c r="C103" s="91">
        <f>H103*Common_Shares/Data!C4</f>
        <v>1543187.1617554207</v>
      </c>
      <c r="E103" s="110">
        <f>PV(C94,D93,0,-F94)*Exchange_Rate</f>
        <v>0.9043786095963896</v>
      </c>
      <c r="F103" s="124">
        <f>PV(C93,D93,0,-F94)*Exchange_Rate</f>
        <v>1.9495142773009608</v>
      </c>
      <c r="H103" s="124">
        <f>PV(C93,D93,0,-I94)*Exchange_Rate</f>
        <v>1.9495142773009608</v>
      </c>
      <c r="I103" s="110">
        <f>H103*1.25</f>
        <v>2.436892846626201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15">
      <c r="B106" s="1" t="s">
        <v>215</v>
      </c>
      <c r="C106" s="91">
        <f>F106*Common_Shares/Data!C4</f>
        <v>771593.58087771037</v>
      </c>
      <c r="E106" s="110">
        <f>(E100+E103)/2</f>
        <v>0.4521893047981948</v>
      </c>
      <c r="F106" s="124">
        <f>(F100+F103)/2</f>
        <v>0.97475713865048041</v>
      </c>
      <c r="H106" s="124">
        <f>(H100+H103)/2</f>
        <v>0.97475713865048041</v>
      </c>
      <c r="I106" s="110">
        <f>H106*1.25</f>
        <v>1.2184464233131005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