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DF354FF-222D-FF45-9515-E27609F626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1" i="4" l="1"/>
  <c r="C21" i="4"/>
  <c r="F6" i="4" l="1"/>
  <c r="F5" i="4"/>
  <c r="G22" i="2"/>
  <c r="H22" i="2"/>
  <c r="I22" i="2"/>
  <c r="J22" i="2"/>
  <c r="K22" i="2"/>
  <c r="L22" i="2"/>
  <c r="M22" i="2"/>
  <c r="G47" i="2"/>
  <c r="H47" i="2"/>
  <c r="I47" i="2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F47" i="2" l="1"/>
  <c r="E47" i="2"/>
  <c r="D47" i="2"/>
  <c r="C47" i="2"/>
  <c r="M14" i="2"/>
  <c r="M46" i="2"/>
  <c r="J46" i="2"/>
  <c r="J14" i="2"/>
  <c r="L46" i="2"/>
  <c r="L14" i="2"/>
  <c r="K15" i="2" s="1"/>
  <c r="K46" i="2"/>
  <c r="K14" i="2"/>
  <c r="J15" i="2" s="1"/>
  <c r="I14" i="2"/>
  <c r="I46" i="2"/>
  <c r="H46" i="2"/>
  <c r="H14" i="2"/>
  <c r="F3" i="2" s="1"/>
  <c r="F46" i="2"/>
  <c r="G46" i="2"/>
  <c r="G14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<sst xmlns="http://schemas.openxmlformats.org/spreadsheetml/2006/main" count="371" uniqueCount="266">
  <si>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</si>
  <si>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</si>
  <si>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</si>
  <si>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</si>
  <si>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</si>
  <si>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</si>
  <si>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</si>
  <si>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</si>
  <si>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</si>
  <si>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</si>
  <si>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</si>
  <si>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</si>
  <si>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</si>
  <si>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</si>
  <si>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</si>
  <si>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</si>
  <si>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</si>
  <si>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</si>
  <si>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</si>
  <si>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</si>
  <si>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</si>
  <si>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</si>
  <si>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</si>
  <si>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</si>
  <si>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</si>
  <si>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</si>
  <si>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</si>
  <si>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</si>
  <si>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</si>
  <si>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</si>
  <si>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</si>
  <si>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</si>
  <si>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</si>
  <si>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</si>
  <si>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</si>
  <si>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</si>
  <si>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</si>
  <si>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</si>
  <si>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</si>
  <si>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</si>
  <si>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</si>
  <si>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</si>
  <si>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</si>
  <si>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</si>
  <si>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</si>
  <si>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</si>
  <si>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</si>
  <si>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</si>
  <si>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</si>
  <si>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</si>
  <si>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</si>
  <si>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</si>
  <si>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</si>
  <si>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</si>
  <si>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</si>
  <si>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</si>
  <si>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</si>
  <si>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</si>
  <si>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</si>
  <si>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</si>
  <si>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</si>
  <si>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</si>
  <si>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</si>
  <si>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</si>
  <si>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</si>
  <si>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</si>
  <si>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</si>
  <si>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</si>
  <si>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</si>
  <si>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</si>
  <si>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</si>
  <si>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</si>
  <si>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</si>
  <si>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</si>
  <si>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</si>
  <si>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</si>
  <si>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</si>
  <si>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</si>
  <si>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</si>
  <si>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</si>
  <si>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</si>
  <si>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</si>
  <si>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</si>
  <si>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</si>
  <si>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</si>
  <si>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</si>
  <si>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</si>
  <si>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</si>
  <si>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</si>
  <si>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</si>
  <si>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</si>
  <si>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</si>
  <si>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</si>
  <si>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</si>
  <si>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</si>
  <si>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</si>
  <si>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</si>
  <si>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</si>
  <si>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</si>
  <si>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</si>
  <si>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</si>
  <si>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</si>
  <si>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</si>
  <si>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</si>
  <si>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</si>
  <si>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</si>
  <si>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</si>
  <si>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</si>
  <si>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</si>
  <si>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</si>
  <si>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</si>
  <si>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</si>
  <si>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</si>
  <si>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</si>
  <si>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</si>
  <si>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</si>
  <si>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</si>
  <si>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</si>
  <si>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</si>
  <si>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</si>
  <si>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</si>
  <si>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</si>
  <si>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</si>
  <si>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</si>
  <si>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</si>
  <si>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</si>
  <si>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</si>
  <si>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</si>
  <si>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</si>
  <si>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</si>
  <si>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</si>
  <si>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</si>
  <si>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</si>
  <si>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</si>
  <si>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</si>
  <si>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</si>
  <si>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</si>
  <si>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</si>
  <si>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</si>
  <si>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</si>
  <si>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</si>
  <si>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</si>
  <si>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</si>
  <si>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</si>
  <si>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</si>
  <si>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</si>
  <si>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</si>
  <si>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</si>
  <si>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</si>
  <si>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</si>
  <si>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</si>
  <si>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</si>
  <si>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</si>
  <si>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</si>
  <si>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</si>
  <si>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</si>
  <si>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</si>
  <si>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</si>
  <si>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</si>
  <si>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</si>
  <si>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</si>
  <si>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</si>
  <si>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</si>
  <si>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</si>
  <si>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</si>
  <si>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</si>
  <si>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</si>
  <si>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</si>
  <si>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</si>
  <si>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</si>
  <si>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</si>
  <si>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</si>
  <si>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</si>
  <si>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</si>
  <si>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</si>
  <si>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</si>
  <si>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</si>
  <si>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</si>
  <si>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</si>
  <si>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</si>
  <si>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</si>
  <si>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</si>
  <si>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</si>
  <si>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</si>
  <si>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</si>
  <si>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</si>
  <si>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</si>
  <si>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</si>
  <si>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</si>
  <si>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</si>
  <si>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</si>
  <si>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</si>
  <si>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</si>
  <si>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</si>
  <si>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</si>
  <si>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</si>
  <si>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</si>
  <si>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</si>
  <si>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</si>
  <si>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</si>
  <si>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</si>
  <si>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</si>
  <si>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</si>
  <si>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</si>
  <si>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</si>
  <si>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</si>
  <si>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</si>
  <si>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</si>
  <si>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</si>
  <si>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</si>
  <si>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</si>
  <si>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</si>
  <si>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</si>
  <si>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</si>
  <si>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</si>
  <si>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</si>
  <si>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</si>
  <si>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</si>
  <si>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</si>
  <si>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</si>
  <si>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</si>
  <si>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</si>
  <si>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</si>
  <si>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</si>
  <si>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</si>
  <si>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</si>
  <si>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</si>
  <si>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</si>
  <si>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</si>
  <si>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</si>
  <si>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</si>
  <si>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</si>
  <si>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</si>
  <si>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</si>
  <si>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</si>
  <si>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</si>
  <si>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</si>
  <si>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</si>
  <si>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</si>
  <si>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</si>
  <si>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</si>
  <si>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</si>
  <si>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</si>
  <si>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</si>
  <si>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</si>
  <si>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</si>
  <si>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</si>
  <si>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</si>
  <si>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</si>
  <si>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</si>
  <si>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</si>
  <si>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</si>
  <si>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</si>
  <si>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</si>
  <si>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</si>
  <si>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</si>
  <si>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</si>
  <si>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</si>
  <si>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</si>
  <si>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</si>
  <si>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</si>
  <si>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</si>
  <si>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</si>
  <si>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英皇鐘錶珠寶</t>
  </si>
  <si>
    <t>0887.HK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</si>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</sst>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00"/>
    <numFmt numFmtId="172" formatCode="0&quot; Years&quot;"/>
    <numFmt numFmtId="173" formatCode="#,##0.000"/>
    <numFmt numFmtId="174" formatCode="#,##0.000_);[Red]\(#,##0.000\)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1" fontId="6" fillId="0" borderId="3" xfId="0" applyNumberFormat="1" applyFont="1" applyBorder="1" applyAlignment="1">
      <alignment horizontal="right"/>
    </xf>
    <xf numFmtId="171" fontId="1" fillId="0" borderId="11" xfId="0" applyNumberFormat="1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171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4" fontId="2" fillId="9" borderId="14" xfId="0" applyNumberFormat="1" applyFont="1" applyFill="1" applyBorder="1" applyAlignment="1">
      <alignment horizontal="right"/>
    </xf>
    <xf numFmtId="170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1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2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8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8" fontId="6" fillId="0" borderId="14" xfId="0" applyNumberFormat="1" applyFont="1" applyBorder="1" applyAlignment="1">
      <alignment horizontal="left"/>
    </xf>
    <xf numFmtId="171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73" fontId="2" fillId="0" borderId="3" xfId="0" applyNumberFormat="1" applyFont="1" applyBorder="1" applyAlignment="1">
      <alignment horizontal="right"/>
    </xf>
    <xf numFmtId="173" fontId="4" fillId="0" borderId="0" xfId="0" applyNumberFormat="1" applyFont="1" applyAlignment="1">
      <alignment horizontal="center"/>
    </xf>
    <xf numFmtId="173" fontId="4" fillId="0" borderId="0" xfId="0" applyNumberFormat="1" applyFont="1"/>
    <xf numFmtId="173" fontId="4" fillId="0" borderId="3" xfId="0" applyNumberFormat="1" applyFont="1" applyBorder="1" applyAlignment="1">
      <alignment horizontal="center"/>
    </xf>
    <xf numFmtId="173" fontId="10" fillId="11" borderId="3" xfId="0" applyNumberFormat="1" applyFont="1" applyFill="1" applyBorder="1" applyAlignment="1">
      <alignment horizontal="center"/>
    </xf>
    <xf numFmtId="173" fontId="4" fillId="0" borderId="7" xfId="0" applyNumberFormat="1" applyFont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4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2.1205737325435711E-3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F34" sqref="F34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38" t="s">
        <v>202</v>
      </c>
      <c r="C4" s="187" t="s">
        <v>264</v>
      </c>
      <c r="E4" s="229" t="s">
        <v>215</v>
      </c>
      <c r="F4" s="12" t="str">
        <f>C11</f>
        <v>HKD</v>
      </c>
    </row>
    <row r="5" spans="1:6" ht="14" x14ac:dyDescent="0.15">
      <c r="B5" s="138" t="s">
        <v>203</v>
      </c>
      <c r="C5" s="190" t="s">
        <v>263</v>
      </c>
      <c r="E5" s="223">
        <f>C18</f>
        <v>45291</v>
      </c>
      <c r="F5" s="224">
        <f>0.0065+0.0056</f>
        <v>1.21E-2</v>
      </c>
    </row>
    <row r="6" spans="1:6" ht="14" x14ac:dyDescent="0.15">
      <c r="B6" s="138" t="s">
        <v>168</v>
      </c>
      <c r="C6" s="188">
        <v>45593</v>
      </c>
      <c r="E6" s="225" t="s">
        <v>213</v>
      </c>
      <c r="F6" s="224">
        <f>F5</f>
        <v>1.21E-2</v>
      </c>
    </row>
    <row r="7" spans="1:6" ht="14" x14ac:dyDescent="0.15">
      <c r="B7" s="137" t="s">
        <v>4</v>
      </c>
      <c r="C7" s="189">
        <v>8</v>
      </c>
    </row>
    <row r="8" spans="1:6" ht="14" x14ac:dyDescent="0.15">
      <c r="B8" s="137" t="s">
        <v>224</v>
      </c>
      <c r="C8" s="190" t="s">
        <v>46</v>
      </c>
    </row>
    <row r="9" spans="1:6" ht="14" x14ac:dyDescent="0.15">
      <c r="B9" s="137" t="s">
        <v>225</v>
      </c>
      <c r="C9" s="191" t="s">
        <v>257</v>
      </c>
    </row>
    <row r="10" spans="1:6" ht="14" x14ac:dyDescent="0.15">
      <c r="B10" s="137" t="s">
        <v>226</v>
      </c>
      <c r="C10" s="192">
        <v>6779458129</v>
      </c>
    </row>
    <row r="11" spans="1:6" ht="14" x14ac:dyDescent="0.15">
      <c r="B11" s="137" t="s">
        <v>227</v>
      </c>
      <c r="C11" s="191" t="s">
        <v>2</v>
      </c>
    </row>
    <row r="12" spans="1:6" ht="14" x14ac:dyDescent="0.15">
      <c r="B12" s="219" t="s">
        <v>10</v>
      </c>
      <c r="C12" s="220">
        <v>45291</v>
      </c>
    </row>
    <row r="13" spans="1:6" ht="14" x14ac:dyDescent="0.15">
      <c r="B13" s="219" t="s">
        <v>11</v>
      </c>
      <c r="C13" s="221">
        <v>1000</v>
      </c>
    </row>
    <row r="14" spans="1:6" ht="14" x14ac:dyDescent="0.15">
      <c r="B14" s="219" t="s">
        <v>229</v>
      </c>
      <c r="C14" s="220">
        <v>45473</v>
      </c>
    </row>
    <row r="15" spans="1:6" ht="14" x14ac:dyDescent="0.15">
      <c r="B15" s="219" t="s">
        <v>228</v>
      </c>
      <c r="C15" s="174" t="s">
        <v>196</v>
      </c>
    </row>
    <row r="16" spans="1:6" ht="14" x14ac:dyDescent="0.15">
      <c r="B16" s="226" t="s">
        <v>97</v>
      </c>
      <c r="C16" s="227">
        <v>0.25</v>
      </c>
      <c r="D16" s="24"/>
    </row>
    <row r="18" spans="2:13" ht="15" x14ac:dyDescent="0.15">
      <c r="B18" s="114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46">
        <v>4823223</v>
      </c>
      <c r="D19" s="146">
        <v>3684261</v>
      </c>
      <c r="E19" s="146"/>
      <c r="F19" s="146"/>
      <c r="G19" s="146"/>
      <c r="H19" s="146"/>
      <c r="I19" s="146"/>
      <c r="J19" s="146"/>
      <c r="K19" s="146"/>
      <c r="L19" s="146"/>
      <c r="M19" s="146"/>
    </row>
    <row r="20" spans="2:13" ht="15" x14ac:dyDescent="0.15">
      <c r="B20" s="97" t="s">
        <v>106</v>
      </c>
      <c r="C20" s="147">
        <v>3372942</v>
      </c>
      <c r="D20" s="147">
        <v>2506999</v>
      </c>
      <c r="E20" s="147"/>
      <c r="F20" s="147"/>
      <c r="G20" s="147"/>
      <c r="H20" s="147"/>
      <c r="I20" s="147"/>
      <c r="J20" s="147"/>
      <c r="K20" s="147"/>
      <c r="L20" s="147"/>
      <c r="M20" s="147"/>
    </row>
    <row r="21" spans="2:13" ht="15" x14ac:dyDescent="0.15">
      <c r="B21" s="97" t="s">
        <v>104</v>
      </c>
      <c r="C21" s="147">
        <f>932960+137802</f>
        <v>1070762</v>
      </c>
      <c r="D21" s="147">
        <f>765201+116481</f>
        <v>881682</v>
      </c>
      <c r="E21" s="147"/>
      <c r="F21" s="147"/>
      <c r="G21" s="147"/>
      <c r="H21" s="147"/>
      <c r="I21" s="147"/>
      <c r="J21" s="147"/>
      <c r="K21" s="147"/>
      <c r="L21" s="147"/>
      <c r="M21" s="147"/>
    </row>
    <row r="22" spans="2:13" ht="15" x14ac:dyDescent="0.15">
      <c r="B22" s="97" t="s">
        <v>107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2:13" ht="15" x14ac:dyDescent="0.15">
      <c r="B23" s="97" t="s">
        <v>124</v>
      </c>
      <c r="C23" s="147">
        <v>10228</v>
      </c>
      <c r="D23" s="147">
        <v>6896</v>
      </c>
      <c r="E23" s="147"/>
      <c r="F23" s="147"/>
      <c r="G23" s="147"/>
      <c r="H23" s="147"/>
      <c r="I23" s="147"/>
      <c r="J23" s="147"/>
      <c r="K23" s="147"/>
      <c r="L23" s="147"/>
      <c r="M23" s="147"/>
    </row>
    <row r="24" spans="2:13" ht="14" x14ac:dyDescent="0.15">
      <c r="B24" s="99" t="s">
        <v>111</v>
      </c>
      <c r="C24" s="147">
        <v>0</v>
      </c>
      <c r="D24" s="147">
        <v>0</v>
      </c>
      <c r="E24" s="147"/>
      <c r="F24" s="147"/>
      <c r="G24" s="147"/>
      <c r="H24" s="147"/>
      <c r="I24" s="147"/>
      <c r="J24" s="147"/>
      <c r="K24" s="147"/>
      <c r="L24" s="147"/>
      <c r="M24" s="147"/>
    </row>
    <row r="25" spans="2:13" ht="15" x14ac:dyDescent="0.15">
      <c r="B25" s="97" t="s">
        <v>110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7" t="s">
        <v>105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2:13" ht="15" x14ac:dyDescent="0.15">
      <c r="B27" s="97" t="s">
        <v>108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2:13" ht="15" x14ac:dyDescent="0.15">
      <c r="B28" s="94" t="s">
        <v>15</v>
      </c>
      <c r="C28" s="218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2:13" ht="15" x14ac:dyDescent="0.15">
      <c r="B29" s="94" t="s">
        <v>117</v>
      </c>
      <c r="C29" s="218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2:13" ht="15" x14ac:dyDescent="0.15">
      <c r="B30" s="94" t="s">
        <v>152</v>
      </c>
      <c r="C30" s="218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2:13" ht="15" x14ac:dyDescent="0.15">
      <c r="B31" s="94" t="s">
        <v>16</v>
      </c>
      <c r="C31" s="218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2:13" ht="15" x14ac:dyDescent="0.15">
      <c r="B32" s="94" t="s">
        <v>116</v>
      </c>
      <c r="C32" s="218"/>
      <c r="D32" s="147"/>
      <c r="E32" s="147"/>
      <c r="F32" s="147"/>
      <c r="G32" s="147"/>
      <c r="H32" s="147"/>
      <c r="I32" s="147"/>
      <c r="J32" s="147"/>
      <c r="K32" s="147"/>
      <c r="L32" s="147"/>
      <c r="M32" s="147"/>
    </row>
    <row r="33" spans="2:13" ht="15" x14ac:dyDescent="0.15">
      <c r="B33" s="94" t="s">
        <v>17</v>
      </c>
      <c r="C33" s="218"/>
      <c r="D33" s="147"/>
      <c r="E33" s="147"/>
      <c r="F33" s="147"/>
      <c r="G33" s="147"/>
      <c r="H33" s="147"/>
      <c r="I33" s="147"/>
      <c r="J33" s="147"/>
      <c r="K33" s="147"/>
      <c r="L33" s="147"/>
      <c r="M33" s="147"/>
    </row>
    <row r="34" spans="2:13" ht="15" x14ac:dyDescent="0.15">
      <c r="B34" s="94" t="s">
        <v>18</v>
      </c>
      <c r="C34" s="218"/>
      <c r="D34" s="147"/>
      <c r="E34" s="147"/>
      <c r="F34" s="147"/>
      <c r="G34" s="147"/>
      <c r="H34" s="147"/>
      <c r="I34" s="147"/>
      <c r="J34" s="147"/>
      <c r="K34" s="147"/>
      <c r="L34" s="147"/>
      <c r="M34" s="147"/>
    </row>
    <row r="35" spans="2:13" ht="15" x14ac:dyDescent="0.15">
      <c r="B35" s="94" t="s">
        <v>141</v>
      </c>
      <c r="C35" s="218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 x14ac:dyDescent="0.15">
      <c r="B36" s="94" t="s">
        <v>142</v>
      </c>
      <c r="C36" s="218"/>
      <c r="D36" s="147"/>
      <c r="E36" s="147"/>
      <c r="F36" s="147"/>
      <c r="G36" s="147"/>
      <c r="H36" s="147"/>
      <c r="I36" s="147"/>
      <c r="J36" s="147"/>
      <c r="K36" s="147"/>
      <c r="L36" s="147"/>
      <c r="M36" s="147"/>
    </row>
    <row r="37" spans="2:13" ht="15" x14ac:dyDescent="0.15">
      <c r="B37" s="94" t="s">
        <v>140</v>
      </c>
      <c r="C37" s="218"/>
      <c r="D37" s="147"/>
      <c r="E37" s="147"/>
      <c r="F37" s="147"/>
      <c r="G37" s="147"/>
      <c r="H37" s="147"/>
      <c r="I37" s="147"/>
      <c r="J37" s="147"/>
      <c r="K37" s="147"/>
      <c r="L37" s="147"/>
      <c r="M37" s="147"/>
    </row>
    <row r="39" spans="2:13" ht="14" x14ac:dyDescent="0.15">
      <c r="B39" s="195" t="s">
        <v>33</v>
      </c>
      <c r="C39" s="193" t="s">
        <v>34</v>
      </c>
      <c r="D39" s="193" t="s">
        <v>204</v>
      </c>
      <c r="E39" s="110" t="s">
        <v>36</v>
      </c>
    </row>
    <row r="40" spans="2:13" ht="14" x14ac:dyDescent="0.15">
      <c r="B40" s="3" t="s">
        <v>38</v>
      </c>
      <c r="C40" s="59"/>
      <c r="D40" s="60">
        <v>0.9</v>
      </c>
      <c r="E40" s="111"/>
    </row>
    <row r="41" spans="2:13" ht="14" x14ac:dyDescent="0.15">
      <c r="B41" s="1" t="s">
        <v>139</v>
      </c>
      <c r="C41" s="59"/>
      <c r="D41" s="60">
        <v>0.8</v>
      </c>
      <c r="E41" s="111"/>
    </row>
    <row r="42" spans="2:13" ht="14" x14ac:dyDescent="0.15">
      <c r="B42" s="3" t="s">
        <v>117</v>
      </c>
      <c r="C42" s="59"/>
      <c r="D42" s="60">
        <f>D43</f>
        <v>0.6</v>
      </c>
      <c r="E42" s="111"/>
    </row>
    <row r="43" spans="2:13" ht="14" x14ac:dyDescent="0.15">
      <c r="B43" s="3" t="s">
        <v>42</v>
      </c>
      <c r="C43" s="59"/>
      <c r="D43" s="60">
        <v>0.6</v>
      </c>
      <c r="E43" s="111"/>
    </row>
    <row r="44" spans="2:13" ht="14" x14ac:dyDescent="0.15">
      <c r="B44" s="3" t="s">
        <v>44</v>
      </c>
      <c r="C44" s="59"/>
      <c r="D44" s="60">
        <v>0.5</v>
      </c>
      <c r="E44" s="111"/>
    </row>
    <row r="45" spans="2:13" ht="14" x14ac:dyDescent="0.15">
      <c r="B45" s="1" t="s">
        <v>163</v>
      </c>
      <c r="C45" s="59"/>
      <c r="D45" s="60">
        <f>D42</f>
        <v>0.6</v>
      </c>
      <c r="E45" s="111"/>
    </row>
    <row r="46" spans="2:13" ht="14" x14ac:dyDescent="0.15">
      <c r="B46" s="3" t="s">
        <v>118</v>
      </c>
      <c r="C46" s="59"/>
      <c r="D46" s="60">
        <v>0.1</v>
      </c>
      <c r="E46" s="111"/>
    </row>
    <row r="47" spans="2:13" ht="14" x14ac:dyDescent="0.15">
      <c r="B47" s="3" t="s">
        <v>47</v>
      </c>
      <c r="C47" s="59"/>
      <c r="D47" s="60">
        <f>D44</f>
        <v>0.5</v>
      </c>
      <c r="E47" s="111"/>
    </row>
    <row r="48" spans="2:13" ht="14" x14ac:dyDescent="0.15">
      <c r="B48" s="1" t="s">
        <v>48</v>
      </c>
      <c r="C48" s="59"/>
      <c r="D48" s="60">
        <f>D42</f>
        <v>0.6</v>
      </c>
      <c r="E48" s="222" t="s">
        <v>71</v>
      </c>
    </row>
    <row r="49" spans="2:5" ht="14" x14ac:dyDescent="0.15">
      <c r="B49" s="3" t="s">
        <v>120</v>
      </c>
      <c r="C49" s="59"/>
      <c r="D49" s="60">
        <v>0.6</v>
      </c>
      <c r="E49" s="222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1"/>
    </row>
    <row r="51" spans="2:5" ht="14" x14ac:dyDescent="0.15">
      <c r="B51" s="35" t="s">
        <v>51</v>
      </c>
      <c r="C51" s="119"/>
      <c r="D51" s="194">
        <f>D62</f>
        <v>0.05</v>
      </c>
      <c r="E51" s="111"/>
    </row>
    <row r="52" spans="2:5" ht="14" x14ac:dyDescent="0.15">
      <c r="B52" s="3" t="s">
        <v>61</v>
      </c>
      <c r="C52" s="59"/>
      <c r="D52" s="60">
        <f>D41</f>
        <v>0.8</v>
      </c>
      <c r="E52" s="111"/>
    </row>
    <row r="53" spans="2:5" ht="14" x14ac:dyDescent="0.15">
      <c r="B53" s="3" t="s">
        <v>63</v>
      </c>
      <c r="C53" s="59"/>
      <c r="D53" s="60">
        <f>D43</f>
        <v>0.6</v>
      </c>
      <c r="E53" s="111"/>
    </row>
    <row r="54" spans="2:5" ht="14" x14ac:dyDescent="0.15">
      <c r="B54" s="3" t="s">
        <v>65</v>
      </c>
      <c r="C54" s="59"/>
      <c r="D54" s="60">
        <f>D44</f>
        <v>0.5</v>
      </c>
      <c r="E54" s="111"/>
    </row>
    <row r="55" spans="2:5" ht="14" x14ac:dyDescent="0.15">
      <c r="B55" s="1" t="s">
        <v>164</v>
      </c>
      <c r="C55" s="59"/>
      <c r="D55" s="60">
        <f>D54</f>
        <v>0.5</v>
      </c>
      <c r="E55" s="111"/>
    </row>
    <row r="56" spans="2:5" ht="14" x14ac:dyDescent="0.15">
      <c r="B56" s="3" t="s">
        <v>68</v>
      </c>
      <c r="C56" s="59"/>
      <c r="D56" s="60">
        <v>0.4</v>
      </c>
      <c r="E56" s="111"/>
    </row>
    <row r="57" spans="2:5" ht="14" x14ac:dyDescent="0.15">
      <c r="B57" s="3" t="s">
        <v>70</v>
      </c>
      <c r="C57" s="59"/>
      <c r="D57" s="60">
        <v>0.1</v>
      </c>
      <c r="E57" s="222" t="s">
        <v>71</v>
      </c>
    </row>
    <row r="58" spans="2:5" ht="14" x14ac:dyDescent="0.15">
      <c r="B58" s="3" t="s">
        <v>72</v>
      </c>
      <c r="C58" s="59"/>
      <c r="D58" s="60">
        <v>0.2</v>
      </c>
      <c r="E58" s="222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2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1"/>
    </row>
    <row r="61" spans="2:5" ht="14" x14ac:dyDescent="0.15">
      <c r="B61" s="3" t="s">
        <v>73</v>
      </c>
      <c r="C61" s="59"/>
      <c r="D61" s="60">
        <f>D62</f>
        <v>0.05</v>
      </c>
      <c r="E61" s="111"/>
    </row>
    <row r="62" spans="2:5" ht="14" x14ac:dyDescent="0.15">
      <c r="B62" s="3" t="s">
        <v>74</v>
      </c>
      <c r="C62" s="59"/>
      <c r="D62" s="60">
        <v>0.05</v>
      </c>
      <c r="E62" s="111"/>
    </row>
    <row r="63" spans="2:5" ht="14" x14ac:dyDescent="0.15">
      <c r="B63" s="3" t="s">
        <v>75</v>
      </c>
      <c r="C63" s="59"/>
      <c r="D63" s="60">
        <f>D50</f>
        <v>0.9</v>
      </c>
      <c r="E63" s="111"/>
    </row>
    <row r="64" spans="2:5" ht="14" x14ac:dyDescent="0.15">
      <c r="B64" s="3" t="s">
        <v>76</v>
      </c>
      <c r="C64" s="59"/>
      <c r="D64" s="60">
        <v>0</v>
      </c>
      <c r="E64" s="111"/>
    </row>
    <row r="65" spans="2:3" ht="14" x14ac:dyDescent="0.15">
      <c r="B65" s="195" t="s">
        <v>37</v>
      </c>
      <c r="C65" s="193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19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19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F5" sqref="F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4" t="str">
        <f>Inputs!C4</f>
        <v>0887.HK</v>
      </c>
      <c r="D3" s="255"/>
      <c r="E3" s="87"/>
      <c r="F3" s="3" t="s">
        <v>1</v>
      </c>
      <c r="G3" s="243">
        <v>0.17499999701976776</v>
      </c>
      <c r="H3" s="131" t="s">
        <v>2</v>
      </c>
    </row>
    <row r="4" spans="1:10" ht="15.75" customHeight="1" x14ac:dyDescent="0.15">
      <c r="B4" s="35" t="s">
        <v>203</v>
      </c>
      <c r="C4" s="256" t="str">
        <f>Inputs!C5</f>
        <v>英皇鐘錶珠寶</v>
      </c>
      <c r="D4" s="257"/>
      <c r="E4" s="87"/>
      <c r="F4" s="3" t="s">
        <v>3</v>
      </c>
      <c r="G4" s="260">
        <f>Inputs!C10</f>
        <v>6779458129</v>
      </c>
      <c r="H4" s="260"/>
      <c r="I4" s="39"/>
    </row>
    <row r="5" spans="1:10" ht="15.75" customHeight="1" x14ac:dyDescent="0.15">
      <c r="B5" s="3" t="s">
        <v>168</v>
      </c>
      <c r="C5" s="258">
        <f>Inputs!C6</f>
        <v>45593</v>
      </c>
      <c r="D5" s="259"/>
      <c r="E5" s="34"/>
      <c r="F5" s="35" t="s">
        <v>100</v>
      </c>
      <c r="G5" s="252">
        <f>G3*G4/1000000</f>
        <v>1186.4051523706403</v>
      </c>
      <c r="H5" s="252"/>
      <c r="I5" s="38"/>
      <c r="J5" s="28"/>
    </row>
    <row r="6" spans="1:10" ht="15.75" customHeight="1" x14ac:dyDescent="0.15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3" t="str">
        <f>Inputs!C11</f>
        <v>HKD</v>
      </c>
      <c r="H6" s="253"/>
      <c r="I6" s="38"/>
    </row>
    <row r="7" spans="1:10" ht="15.75" customHeight="1" x14ac:dyDescent="0.15">
      <c r="B7" s="86" t="s">
        <v>200</v>
      </c>
      <c r="C7" s="186" t="str">
        <f>Inputs!C8</f>
        <v>Y</v>
      </c>
      <c r="D7" s="186" t="str">
        <f>Inputs!C9</f>
        <v>C0003</v>
      </c>
      <c r="E7" s="87"/>
      <c r="F7" s="35" t="s">
        <v>6</v>
      </c>
      <c r="G7" s="130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6" t="s">
        <v>198</v>
      </c>
      <c r="F9" s="140" t="s">
        <v>192</v>
      </c>
    </row>
    <row r="10" spans="1:10" ht="15.75" customHeight="1" x14ac:dyDescent="0.15">
      <c r="B10" s="1" t="s">
        <v>181</v>
      </c>
      <c r="C10" s="170">
        <v>4.2099999999999999E-2</v>
      </c>
      <c r="F10" s="109" t="s">
        <v>189</v>
      </c>
    </row>
    <row r="11" spans="1:10" ht="15.75" customHeight="1" thickBot="1" x14ac:dyDescent="0.2">
      <c r="B11" s="121" t="s">
        <v>185</v>
      </c>
      <c r="C11" s="171">
        <v>5.3099999999999994E-2</v>
      </c>
      <c r="D11" s="134" t="s">
        <v>196</v>
      </c>
      <c r="F11" s="109" t="s">
        <v>183</v>
      </c>
    </row>
    <row r="12" spans="1:10" ht="15.75" customHeight="1" thickTop="1" x14ac:dyDescent="0.15">
      <c r="B12" s="87" t="s">
        <v>135</v>
      </c>
      <c r="C12" s="172">
        <v>0.06</v>
      </c>
      <c r="D12" s="170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182</v>
      </c>
      <c r="C14" s="170">
        <v>2.1309999999999999E-2</v>
      </c>
      <c r="F14" s="109" t="s">
        <v>188</v>
      </c>
    </row>
    <row r="15" spans="1:10" ht="15.75" customHeight="1" x14ac:dyDescent="0.15">
      <c r="B15" s="1" t="s">
        <v>193</v>
      </c>
      <c r="C15" s="170">
        <v>6.5000000000000002E-2</v>
      </c>
      <c r="F15" s="109" t="s">
        <v>186</v>
      </c>
    </row>
    <row r="16" spans="1:10" ht="15.75" customHeight="1" thickBot="1" x14ac:dyDescent="0.2">
      <c r="B16" s="121" t="s">
        <v>194</v>
      </c>
      <c r="C16" s="171">
        <v>0.16</v>
      </c>
      <c r="D16" s="141" t="s">
        <v>197</v>
      </c>
      <c r="F16" s="109" t="s">
        <v>184</v>
      </c>
    </row>
    <row r="17" spans="1:8" ht="15.75" customHeight="1" thickTop="1" x14ac:dyDescent="0.15">
      <c r="B17" s="87" t="s">
        <v>187</v>
      </c>
      <c r="C17" s="173">
        <v>7.1999999999999995E-2</v>
      </c>
      <c r="D17" s="174"/>
    </row>
    <row r="18" spans="1:8" ht="15.75" customHeight="1" x14ac:dyDescent="0.15"/>
    <row r="19" spans="1:8" ht="15.75" customHeight="1" x14ac:dyDescent="0.15">
      <c r="B19" s="139" t="s">
        <v>190</v>
      </c>
      <c r="C19" s="132" t="s">
        <v>52</v>
      </c>
      <c r="D19" s="87"/>
      <c r="E19" s="87"/>
      <c r="F19" s="139" t="s">
        <v>220</v>
      </c>
      <c r="G19" s="87"/>
      <c r="H19" s="87"/>
    </row>
    <row r="20" spans="1:8" ht="15.75" customHeight="1" x14ac:dyDescent="0.15">
      <c r="B20" s="134" t="s">
        <v>174</v>
      </c>
      <c r="C20" s="169">
        <f>Fin_Analysis!I75</f>
        <v>0.69931288683936033</v>
      </c>
      <c r="F20" s="87" t="s">
        <v>219</v>
      </c>
      <c r="G20" s="170">
        <v>0.25</v>
      </c>
    </row>
    <row r="21" spans="1:8" ht="15.75" customHeight="1" x14ac:dyDescent="0.15">
      <c r="B21" s="134" t="s">
        <v>259</v>
      </c>
      <c r="C21" s="169">
        <f>Fin_Analysis!I77</f>
        <v>0.22200134640260258</v>
      </c>
      <c r="F21" s="87"/>
      <c r="G21" s="29"/>
    </row>
    <row r="22" spans="1:8" ht="15.75" customHeight="1" x14ac:dyDescent="0.15">
      <c r="B22" s="134" t="s">
        <v>175</v>
      </c>
      <c r="C22" s="169">
        <f>Fin_Analysis!I79</f>
        <v>2.1205737325435711E-3</v>
      </c>
      <c r="F22" s="139" t="s">
        <v>191</v>
      </c>
    </row>
    <row r="23" spans="1:8" ht="15.75" customHeight="1" x14ac:dyDescent="0.15">
      <c r="B23" s="134" t="s">
        <v>258</v>
      </c>
      <c r="C23" s="169">
        <f>Fin_Analysis!I80</f>
        <v>0</v>
      </c>
      <c r="F23" s="137" t="s">
        <v>195</v>
      </c>
      <c r="G23" s="175" t="e">
        <f>G3/(Data!C36*Data!C4/Common_Shares*Exchange_Rate)</f>
        <v>#DIV/0!</v>
      </c>
    </row>
    <row r="24" spans="1:8" ht="15.75" customHeight="1" x14ac:dyDescent="0.15">
      <c r="B24" s="134" t="s">
        <v>176</v>
      </c>
      <c r="C24" s="169">
        <f>Fin_Analysis!I81</f>
        <v>0</v>
      </c>
      <c r="F24" s="137" t="s">
        <v>180</v>
      </c>
      <c r="G24" s="176">
        <f>(Fin_Analysis!H86*G7)/G3</f>
        <v>0.2334516581005823</v>
      </c>
    </row>
    <row r="25" spans="1:8" ht="15.75" customHeight="1" x14ac:dyDescent="0.15">
      <c r="B25" s="134" t="s">
        <v>199</v>
      </c>
      <c r="C25" s="169">
        <f>Fin_Analysis!I82</f>
        <v>0</v>
      </c>
      <c r="F25" s="137" t="s">
        <v>179</v>
      </c>
      <c r="G25" s="169">
        <f>Fin_Analysis!I88</f>
        <v>0.29617634281510608</v>
      </c>
    </row>
    <row r="26" spans="1:8" ht="15.75" customHeight="1" x14ac:dyDescent="0.15">
      <c r="B26" s="135" t="s">
        <v>178</v>
      </c>
      <c r="C26" s="169">
        <f>Fin_Analysis!I83</f>
        <v>7.6565193025493528E-2</v>
      </c>
      <c r="F26" s="138" t="s">
        <v>201</v>
      </c>
      <c r="G26" s="176">
        <f>Fin_Analysis!H88*Exchange_Rate/G3</f>
        <v>6.9142858320352996E-2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50" t="s">
        <v>251</v>
      </c>
      <c r="H28" s="250"/>
    </row>
    <row r="29" spans="1:8" ht="15.75" customHeight="1" x14ac:dyDescent="0.15">
      <c r="B29" s="87" t="s">
        <v>173</v>
      </c>
      <c r="C29" s="128">
        <f>IF(Fin_Analysis!C108="Profit",Fin_Analysis!E100,IF(Fin_Analysis!C108="Dividend",Fin_Analysis!D103,Fin_Analysis!D106))</f>
        <v>0.13953892445307925</v>
      </c>
      <c r="D29" s="127">
        <f>IF(Fin_Analysis!C108="Profit",Fin_Analysis!I100,IF(Fin_Analysis!C108="Dividend",Fin_Analysis!I103,Fin_Analysis!I106))</f>
        <v>0.23256487408846543</v>
      </c>
      <c r="E29" s="87"/>
      <c r="F29" s="129">
        <f>IF(Fin_Analysis!C108="Profit",Fin_Analysis!F100,IF(Fin_Analysis!C108="Dividend",Fin_Analysis!F103,Fin_Analysis!F106))</f>
        <v>0.18605189927077234</v>
      </c>
      <c r="G29" s="251">
        <f>IF(Fin_Analysis!C108="Profit",Fin_Analysis!E100,IF(Fin_Analysis!C108="Dividend",Fin_Analysis!E103,Fin_Analysis!E106))</f>
        <v>0.18605189927077234</v>
      </c>
      <c r="H29" s="251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195" t="s">
        <v>233</v>
      </c>
      <c r="C32" s="230"/>
    </row>
    <row r="33" spans="1:3" ht="15.75" customHeight="1" x14ac:dyDescent="0.15">
      <c r="A33"/>
      <c r="B33" s="20" t="s">
        <v>234</v>
      </c>
      <c r="C33" s="231" t="s">
        <v>242</v>
      </c>
    </row>
    <row r="34" spans="1:3" ht="15.75" customHeight="1" x14ac:dyDescent="0.15">
      <c r="A34"/>
      <c r="B34" s="19" t="s">
        <v>235</v>
      </c>
      <c r="C34" s="23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5" t="s">
        <v>236</v>
      </c>
      <c r="C35" s="230"/>
    </row>
    <row r="36" spans="1:3" ht="15.75" customHeight="1" x14ac:dyDescent="0.15">
      <c r="A36"/>
      <c r="B36" s="20" t="s">
        <v>252</v>
      </c>
      <c r="C36" s="231" t="s">
        <v>260</v>
      </c>
    </row>
    <row r="37" spans="1:3" ht="15.75" customHeight="1" x14ac:dyDescent="0.15">
      <c r="A37"/>
      <c r="B37" s="20" t="s">
        <v>253</v>
      </c>
      <c r="C37" s="231" t="s">
        <v>243</v>
      </c>
    </row>
    <row r="38" spans="1:3" ht="15.75" customHeight="1" x14ac:dyDescent="0.15">
      <c r="A38"/>
      <c r="B38" s="195" t="s">
        <v>237</v>
      </c>
      <c r="C38" s="230"/>
    </row>
    <row r="39" spans="1:3" ht="15.75" customHeight="1" x14ac:dyDescent="0.15">
      <c r="A39"/>
      <c r="B39" s="19" t="s">
        <v>238</v>
      </c>
      <c r="C39" s="231" t="s">
        <v>243</v>
      </c>
    </row>
    <row r="40" spans="1:3" ht="15.75" customHeight="1" x14ac:dyDescent="0.15">
      <c r="A40"/>
      <c r="B40" s="1" t="s">
        <v>244</v>
      </c>
      <c r="C40" s="231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3" t="s">
        <v>240</v>
      </c>
      <c r="C43" s="234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3" sqref="D1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5" t="s">
        <v>207</v>
      </c>
      <c r="F2" s="118" t="s">
        <v>210</v>
      </c>
      <c r="G2" s="145" t="s">
        <v>211</v>
      </c>
      <c r="H2" s="144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3" t="s">
        <v>208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6">
        <f>Inputs!C13</f>
        <v>1000</v>
      </c>
      <c r="D4" s="1" t="str">
        <f>Dashboard!G6</f>
        <v>HKD</v>
      </c>
      <c r="E4" s="143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4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IF(Inputs!C19=""," ",Inputs!C19)</f>
        <v>4823223</v>
      </c>
      <c r="D6" s="201">
        <f>IF(Inputs!D19="","",Inputs!D19)</f>
        <v>3684261</v>
      </c>
      <c r="E6" s="201" t="str">
        <f>IF(Inputs!E19="","",Inputs!E19)</f>
        <v/>
      </c>
      <c r="F6" s="201" t="str">
        <f>IF(Inputs!F19="","",Inputs!F19)</f>
        <v/>
      </c>
      <c r="G6" s="201" t="str">
        <f>IF(Inputs!G19="","",Inputs!G19)</f>
        <v/>
      </c>
      <c r="H6" s="201" t="str">
        <f>IF(Inputs!H19="","",Inputs!H19)</f>
        <v/>
      </c>
      <c r="I6" s="201" t="str">
        <f>IF(Inputs!I19="","",Inputs!I19)</f>
        <v/>
      </c>
      <c r="J6" s="201" t="str">
        <f>IF(Inputs!J19="","",Inputs!J19)</f>
        <v/>
      </c>
      <c r="K6" s="201" t="str">
        <f>IF(Inputs!K19="","",Inputs!K19)</f>
        <v/>
      </c>
      <c r="L6" s="201" t="str">
        <f>IF(Inputs!L19="","",Inputs!L19)</f>
        <v/>
      </c>
      <c r="M6" s="201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IF(Inputs!C20="","",Inputs!C20)</f>
        <v>3372942</v>
      </c>
      <c r="D8" s="200">
        <f>IF(Inputs!D20="","",Inputs!D20)</f>
        <v>2506999</v>
      </c>
      <c r="E8" s="200" t="str">
        <f>IF(Inputs!E20="","",Inputs!E20)</f>
        <v/>
      </c>
      <c r="F8" s="200" t="str">
        <f>IF(Inputs!F20="","",Inputs!F20)</f>
        <v/>
      </c>
      <c r="G8" s="200" t="str">
        <f>IF(Inputs!G20="","",Inputs!G20)</f>
        <v/>
      </c>
      <c r="H8" s="200" t="str">
        <f>IF(Inputs!H20="","",Inputs!H20)</f>
        <v/>
      </c>
      <c r="I8" s="200" t="str">
        <f>IF(Inputs!I20="","",Inputs!I20)</f>
        <v/>
      </c>
      <c r="J8" s="200" t="str">
        <f>IF(Inputs!J20="","",Inputs!J20)</f>
        <v/>
      </c>
      <c r="K8" s="200" t="str">
        <f>IF(Inputs!K20="","",Inputs!K20)</f>
        <v/>
      </c>
      <c r="L8" s="200" t="str">
        <f>IF(Inputs!L20="","",Inputs!L20)</f>
        <v/>
      </c>
      <c r="M8" s="200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48">
        <f t="shared" ref="C9:M9" si="2">IF(C6="","",(C6-C8))</f>
        <v>1450281</v>
      </c>
      <c r="D9" s="148">
        <f t="shared" si="2"/>
        <v>1177262</v>
      </c>
      <c r="E9" s="148" t="str">
        <f t="shared" si="2"/>
        <v/>
      </c>
      <c r="F9" s="148" t="str">
        <f t="shared" si="2"/>
        <v/>
      </c>
      <c r="G9" s="148" t="str">
        <f t="shared" si="2"/>
        <v/>
      </c>
      <c r="H9" s="148" t="str">
        <f t="shared" si="2"/>
        <v/>
      </c>
      <c r="I9" s="148" t="str">
        <f t="shared" si="2"/>
        <v/>
      </c>
      <c r="J9" s="148" t="str">
        <f t="shared" si="2"/>
        <v/>
      </c>
      <c r="K9" s="148" t="str">
        <f t="shared" si="2"/>
        <v/>
      </c>
      <c r="L9" s="148" t="str">
        <f t="shared" si="2"/>
        <v/>
      </c>
      <c r="M9" s="148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IF(Inputs!C21="","",Inputs!C21)</f>
        <v>1070762</v>
      </c>
      <c r="D10" s="200">
        <f>IF(Inputs!D21="","",Inputs!D21)</f>
        <v>881682</v>
      </c>
      <c r="E10" s="200" t="str">
        <f>IF(Inputs!E21="","",Inputs!E21)</f>
        <v/>
      </c>
      <c r="F10" s="200" t="str">
        <f>IF(Inputs!F21="","",Inputs!F21)</f>
        <v/>
      </c>
      <c r="G10" s="200" t="str">
        <f>IF(Inputs!G21="","",Inputs!G21)</f>
        <v/>
      </c>
      <c r="H10" s="200" t="str">
        <f>IF(Inputs!H21="","",Inputs!H21)</f>
        <v/>
      </c>
      <c r="I10" s="200" t="str">
        <f>IF(Inputs!I21="","",Inputs!I21)</f>
        <v/>
      </c>
      <c r="J10" s="200" t="str">
        <f>IF(Inputs!J21="","",Inputs!J21)</f>
        <v/>
      </c>
      <c r="K10" s="200" t="str">
        <f>IF(Inputs!K21="","",Inputs!K21)</f>
        <v/>
      </c>
      <c r="L10" s="200" t="str">
        <f>IF(Inputs!L21="","",Inputs!L21)</f>
        <v/>
      </c>
      <c r="M10" s="200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IF(Inputs!C22="","",Inputs!C22)</f>
        <v/>
      </c>
      <c r="D11" s="200" t="str">
        <f>IF(Inputs!D22="","",Inputs!D22)</f>
        <v/>
      </c>
      <c r="E11" s="200" t="str">
        <f>IF(Inputs!E22="","",Inputs!E22)</f>
        <v/>
      </c>
      <c r="F11" s="200" t="str">
        <f>IF(Inputs!F22="","",Inputs!F22)</f>
        <v/>
      </c>
      <c r="G11" s="200" t="str">
        <f>IF(Inputs!G22="","",Inputs!G22)</f>
        <v/>
      </c>
      <c r="H11" s="200" t="str">
        <f>IF(Inputs!H22="","",Inputs!H22)</f>
        <v/>
      </c>
      <c r="I11" s="200" t="str">
        <f>IF(Inputs!I22="","",Inputs!I22)</f>
        <v/>
      </c>
      <c r="J11" s="200" t="str">
        <f>IF(Inputs!J22="","",Inputs!J22)</f>
        <v/>
      </c>
      <c r="K11" s="200" t="str">
        <f>IF(Inputs!K22="","",Inputs!K22)</f>
        <v/>
      </c>
      <c r="L11" s="200" t="str">
        <f>IF(Inputs!L22="","",Inputs!L22)</f>
        <v/>
      </c>
      <c r="M11" s="200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0">
        <f>IF(Inputs!C24="","",MAX(Inputs!C24,0)/(1-Fin_Analysis!$I$84))</f>
        <v>0</v>
      </c>
      <c r="D12" s="200">
        <f>IF(Inputs!D24="","",MAX(Inputs!D24,0)/(1-Fin_Analysis!$I$84))</f>
        <v>0</v>
      </c>
      <c r="E12" s="200" t="str">
        <f>IF(Inputs!E24="","",MAX(Inputs!E24,0)/(1-Fin_Analysis!$I$84))</f>
        <v/>
      </c>
      <c r="F12" s="200" t="str">
        <f>IF(Inputs!F24="","",MAX(Inputs!F24,0)/(1-Fin_Analysis!$I$84))</f>
        <v/>
      </c>
      <c r="G12" s="200" t="str">
        <f>IF(Inputs!G24="","",MAX(Inputs!G24,0)/(1-Fin_Analysis!$I$84))</f>
        <v/>
      </c>
      <c r="H12" s="200" t="str">
        <f>IF(Inputs!H24="","",MAX(Inputs!H24,0)/(1-Fin_Analysis!$I$84))</f>
        <v/>
      </c>
      <c r="I12" s="200" t="str">
        <f>IF(Inputs!I24="","",MAX(Inputs!I24,0)/(1-Fin_Analysis!$I$84))</f>
        <v/>
      </c>
      <c r="J12" s="200" t="str">
        <f>IF(Inputs!J24="","",MAX(Inputs!J24,0)/(1-Fin_Analysis!$I$84))</f>
        <v/>
      </c>
      <c r="K12" s="200" t="str">
        <f>IF(Inputs!K24="","",MAX(Inputs!K24,0)/(1-Fin_Analysis!$I$84))</f>
        <v/>
      </c>
      <c r="L12" s="200" t="str">
        <f>IF(Inputs!L24="","",MAX(Inputs!L24,0)/(1-Fin_Analysis!$I$84))</f>
        <v/>
      </c>
      <c r="M12" s="200" t="str">
        <f>IF(Inputs!M24="","",MAX(Inputs!M24,0)/(1-Fin_Analysis!$I$84))</f>
        <v/>
      </c>
      <c r="N12" s="87"/>
    </row>
    <row r="13" spans="1:14" ht="15.75" customHeight="1" x14ac:dyDescent="0.15">
      <c r="A13" s="4"/>
      <c r="B13" s="236" t="s">
        <v>255</v>
      </c>
      <c r="C13" s="237">
        <f t="shared" ref="C13:M13" si="3">IF(C14="","",C14/C6)</f>
        <v>7.868576675803711E-2</v>
      </c>
      <c r="D13" s="237">
        <f t="shared" si="3"/>
        <v>8.0227758022572232E-2</v>
      </c>
      <c r="E13" s="237" t="str">
        <f t="shared" si="3"/>
        <v/>
      </c>
      <c r="F13" s="237" t="str">
        <f t="shared" si="3"/>
        <v/>
      </c>
      <c r="G13" s="237" t="str">
        <f t="shared" si="3"/>
        <v/>
      </c>
      <c r="H13" s="237" t="str">
        <f t="shared" si="3"/>
        <v/>
      </c>
      <c r="I13" s="237" t="str">
        <f t="shared" si="3"/>
        <v/>
      </c>
      <c r="J13" s="237" t="str">
        <f t="shared" si="3"/>
        <v/>
      </c>
      <c r="K13" s="237" t="str">
        <f t="shared" si="3"/>
        <v/>
      </c>
      <c r="L13" s="237" t="str">
        <f t="shared" si="3"/>
        <v/>
      </c>
      <c r="M13" s="237" t="str">
        <f t="shared" si="3"/>
        <v/>
      </c>
      <c r="N13" s="87"/>
    </row>
    <row r="14" spans="1:14" ht="15.75" customHeight="1" x14ac:dyDescent="0.15">
      <c r="A14" s="4"/>
      <c r="B14" s="236" t="s">
        <v>246</v>
      </c>
      <c r="C14" s="238">
        <f>IF(C6="","",C9-C10-MAX(C11,0)-MAX(C12,0))</f>
        <v>379519</v>
      </c>
      <c r="D14" s="238">
        <f t="shared" ref="D14:M14" si="4">IF(D6="","",D9-D10-MAX(D11,0)-MAX(D12,0))</f>
        <v>295580</v>
      </c>
      <c r="E14" s="238" t="str">
        <f t="shared" si="4"/>
        <v/>
      </c>
      <c r="F14" s="238" t="str">
        <f t="shared" si="4"/>
        <v/>
      </c>
      <c r="G14" s="238" t="str">
        <f t="shared" si="4"/>
        <v/>
      </c>
      <c r="H14" s="238" t="str">
        <f t="shared" si="4"/>
        <v/>
      </c>
      <c r="I14" s="238" t="str">
        <f t="shared" si="4"/>
        <v/>
      </c>
      <c r="J14" s="238" t="str">
        <f t="shared" si="4"/>
        <v/>
      </c>
      <c r="K14" s="238" t="str">
        <f t="shared" si="4"/>
        <v/>
      </c>
      <c r="L14" s="238" t="str">
        <f t="shared" si="4"/>
        <v/>
      </c>
      <c r="M14" s="238" t="str">
        <f t="shared" si="4"/>
        <v/>
      </c>
      <c r="N14" s="87"/>
    </row>
    <row r="15" spans="1:14" ht="15.75" customHeight="1" x14ac:dyDescent="0.15">
      <c r="A15" s="4"/>
      <c r="B15" s="239" t="s">
        <v>256</v>
      </c>
      <c r="C15" s="240">
        <f>IF(D14="","",IF(ABS(C14+D14)=ABS(C14)+ABS(D14),IF(C14&lt;0,-1,1)*(C14-D14)/D14,"Turn"))</f>
        <v>0.28398064821706476</v>
      </c>
      <c r="D15" s="240" t="str">
        <f t="shared" ref="D15:M15" si="5">IF(E14="","",IF(ABS(D14+E14)=ABS(D14)+ABS(E14),IF(D14&lt;0,-1,1)*(D14-E14)/E14,"Turn"))</f>
        <v/>
      </c>
      <c r="E15" s="240" t="str">
        <f t="shared" si="5"/>
        <v/>
      </c>
      <c r="F15" s="240" t="str">
        <f t="shared" si="5"/>
        <v/>
      </c>
      <c r="G15" s="240" t="str">
        <f t="shared" si="5"/>
        <v/>
      </c>
      <c r="H15" s="240" t="str">
        <f t="shared" si="5"/>
        <v/>
      </c>
      <c r="I15" s="240" t="str">
        <f t="shared" si="5"/>
        <v/>
      </c>
      <c r="J15" s="240" t="str">
        <f t="shared" si="5"/>
        <v/>
      </c>
      <c r="K15" s="240" t="str">
        <f t="shared" si="5"/>
        <v/>
      </c>
      <c r="L15" s="240" t="str">
        <f t="shared" si="5"/>
        <v/>
      </c>
      <c r="M15" s="240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IF(Inputs!C25="","",Inputs!C25)</f>
        <v/>
      </c>
      <c r="D16" s="200" t="str">
        <f>IF(Inputs!D25="","",Inputs!D25)</f>
        <v/>
      </c>
      <c r="E16" s="200" t="str">
        <f>IF(Inputs!E25="","",Inputs!E25)</f>
        <v/>
      </c>
      <c r="F16" s="200" t="str">
        <f>IF(Inputs!F25="","",Inputs!F25)</f>
        <v/>
      </c>
      <c r="G16" s="200" t="str">
        <f>IF(Inputs!G25="","",Inputs!G25)</f>
        <v/>
      </c>
      <c r="H16" s="200" t="str">
        <f>IF(Inputs!H25="","",Inputs!H25)</f>
        <v/>
      </c>
      <c r="I16" s="200" t="str">
        <f>IF(Inputs!I25="","",Inputs!I25)</f>
        <v/>
      </c>
      <c r="J16" s="200" t="str">
        <f>IF(Inputs!J25="","",Inputs!J25)</f>
        <v/>
      </c>
      <c r="K16" s="200" t="str">
        <f>IF(Inputs!K25="","",Inputs!K25)</f>
        <v/>
      </c>
      <c r="L16" s="200" t="str">
        <f>IF(Inputs!L25="","",Inputs!L25)</f>
        <v/>
      </c>
      <c r="M16" s="200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0">
        <f>IF(Inputs!C23="","",Inputs!C23)</f>
        <v>10228</v>
      </c>
      <c r="D17" s="200">
        <f>IF(Inputs!D23="","",Inputs!D23)</f>
        <v>6896</v>
      </c>
      <c r="E17" s="200" t="str">
        <f>IF(Inputs!E23="","",Inputs!E23)</f>
        <v/>
      </c>
      <c r="F17" s="200" t="str">
        <f>IF(Inputs!F23="","",Inputs!F23)</f>
        <v/>
      </c>
      <c r="G17" s="200" t="str">
        <f>IF(Inputs!G23="","",Inputs!G23)</f>
        <v/>
      </c>
      <c r="H17" s="200" t="str">
        <f>IF(Inputs!H23="","",Inputs!H23)</f>
        <v/>
      </c>
      <c r="I17" s="200" t="str">
        <f>IF(Inputs!I23="","",Inputs!I23)</f>
        <v/>
      </c>
      <c r="J17" s="200" t="str">
        <f>IF(Inputs!J23="","",Inputs!J23)</f>
        <v/>
      </c>
      <c r="K17" s="200" t="str">
        <f>IF(Inputs!K23="","",Inputs!K23)</f>
        <v/>
      </c>
      <c r="L17" s="200" t="str">
        <f>IF(Inputs!L23="","",Inputs!L23)</f>
        <v/>
      </c>
      <c r="M17" s="200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49" t="str">
        <f t="shared" ref="C18:M18" si="6">IF(OR(C6="",C19=""),"",C19/C6)</f>
        <v/>
      </c>
      <c r="D18" s="149" t="str">
        <f t="shared" si="6"/>
        <v/>
      </c>
      <c r="E18" s="149" t="str">
        <f t="shared" si="6"/>
        <v/>
      </c>
      <c r="F18" s="149" t="str">
        <f t="shared" si="6"/>
        <v/>
      </c>
      <c r="G18" s="149" t="str">
        <f t="shared" si="6"/>
        <v/>
      </c>
      <c r="H18" s="149" t="str">
        <f t="shared" si="6"/>
        <v/>
      </c>
      <c r="I18" s="149" t="str">
        <f t="shared" si="6"/>
        <v/>
      </c>
      <c r="J18" s="149" t="str">
        <f t="shared" si="6"/>
        <v/>
      </c>
      <c r="K18" s="149" t="str">
        <f t="shared" si="6"/>
        <v/>
      </c>
      <c r="L18" s="149" t="str">
        <f t="shared" si="6"/>
        <v/>
      </c>
      <c r="M18" s="149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IF(Inputs!C26="","",Inputs!C26)</f>
        <v/>
      </c>
      <c r="D19" s="200" t="str">
        <f>IF(Inputs!D26="","",Inputs!D26)</f>
        <v/>
      </c>
      <c r="E19" s="200" t="str">
        <f>IF(Inputs!E26="","",Inputs!E26)</f>
        <v/>
      </c>
      <c r="F19" s="200" t="str">
        <f>IF(Inputs!F26="","",Inputs!F26)</f>
        <v/>
      </c>
      <c r="G19" s="200" t="str">
        <f>IF(Inputs!G26="","",Inputs!G26)</f>
        <v/>
      </c>
      <c r="H19" s="200" t="str">
        <f>IF(Inputs!H26="","",Inputs!H26)</f>
        <v/>
      </c>
      <c r="I19" s="200" t="str">
        <f>IF(Inputs!I26="","",Inputs!I26)</f>
        <v/>
      </c>
      <c r="J19" s="200" t="str">
        <f>IF(Inputs!J26="","",Inputs!J26)</f>
        <v/>
      </c>
      <c r="K19" s="200" t="str">
        <f>IF(Inputs!K26="","",Inputs!K26)</f>
        <v/>
      </c>
      <c r="L19" s="200" t="str">
        <f>IF(Inputs!L26="","",Inputs!L26)</f>
        <v/>
      </c>
      <c r="M19" s="200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49">
        <f t="shared" ref="C20:M20" si="7">IF(C6="","",MAX(C21,0)/C6)</f>
        <v>0</v>
      </c>
      <c r="D20" s="149">
        <f t="shared" si="7"/>
        <v>0</v>
      </c>
      <c r="E20" s="149" t="str">
        <f t="shared" si="7"/>
        <v/>
      </c>
      <c r="F20" s="149" t="str">
        <f t="shared" si="7"/>
        <v/>
      </c>
      <c r="G20" s="149" t="str">
        <f t="shared" si="7"/>
        <v/>
      </c>
      <c r="H20" s="149" t="str">
        <f t="shared" si="7"/>
        <v/>
      </c>
      <c r="I20" s="149" t="str">
        <f t="shared" si="7"/>
        <v/>
      </c>
      <c r="J20" s="149" t="str">
        <f t="shared" si="7"/>
        <v/>
      </c>
      <c r="K20" s="149" t="str">
        <f t="shared" si="7"/>
        <v/>
      </c>
      <c r="L20" s="149" t="str">
        <f t="shared" si="7"/>
        <v/>
      </c>
      <c r="M20" s="149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IF(Inputs!C27="","",Inputs!C27)</f>
        <v/>
      </c>
      <c r="D21" s="200" t="str">
        <f>IF(Inputs!D27="","",Inputs!D27)</f>
        <v/>
      </c>
      <c r="E21" s="200" t="str">
        <f>IF(Inputs!E27="","",Inputs!E27)</f>
        <v/>
      </c>
      <c r="F21" s="200" t="str">
        <f>IF(Inputs!F27="","",Inputs!F27)</f>
        <v/>
      </c>
      <c r="G21" s="200" t="str">
        <f>IF(Inputs!G27="","",Inputs!G27)</f>
        <v/>
      </c>
      <c r="H21" s="200" t="str">
        <f>IF(Inputs!H27="","",Inputs!H27)</f>
        <v/>
      </c>
      <c r="I21" s="200" t="str">
        <f>IF(Inputs!I27="","",Inputs!I27)</f>
        <v/>
      </c>
      <c r="J21" s="200" t="str">
        <f>IF(Inputs!J27="","",Inputs!J27)</f>
        <v/>
      </c>
      <c r="K21" s="200" t="str">
        <f>IF(Inputs!K27="","",Inputs!K27)</f>
        <v/>
      </c>
      <c r="L21" s="200" t="str">
        <f>IF(Inputs!L27="","",Inputs!L27)</f>
        <v/>
      </c>
      <c r="M21" s="200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58">
        <f>IF(C6="","",C14-MAX(C16,0)-MAX(C17,0)-ABS(MAX(C21,0)-MAX(C19,0)))</f>
        <v>369291</v>
      </c>
      <c r="D22" s="158">
        <f t="shared" ref="D22:M22" si="8">IF(D6="","",D14-MAX(D16,0)-MAX(D17,0)-ABS(MAX(D21,0)-MAX(D19,0)))</f>
        <v>288684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0">
        <f t="shared" ref="C23:M23" si="9">IF(C6="","",C24/C6)</f>
        <v>5.7423894769120153E-2</v>
      </c>
      <c r="D23" s="150">
        <f t="shared" si="9"/>
        <v>5.8767009177688553E-2</v>
      </c>
      <c r="E23" s="150" t="str">
        <f t="shared" si="9"/>
        <v/>
      </c>
      <c r="F23" s="150" t="str">
        <f t="shared" si="9"/>
        <v/>
      </c>
      <c r="G23" s="150" t="str">
        <f t="shared" si="9"/>
        <v/>
      </c>
      <c r="H23" s="150" t="str">
        <f t="shared" si="9"/>
        <v/>
      </c>
      <c r="I23" s="150" t="str">
        <f t="shared" si="9"/>
        <v/>
      </c>
      <c r="J23" s="150" t="str">
        <f t="shared" si="9"/>
        <v/>
      </c>
      <c r="K23" s="150" t="str">
        <f t="shared" si="9"/>
        <v/>
      </c>
      <c r="L23" s="150" t="str">
        <f t="shared" si="9"/>
        <v/>
      </c>
      <c r="M23" s="150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1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2" t="s">
        <v>131</v>
      </c>
      <c r="C25" s="241">
        <f>IF(D24="","",IF(ABS(C24+D24)=ABS(C24)+ABS(D24),IF(C24&lt;0,-1,1)*(C24-D24)/D24,"Turn"))</f>
        <v>0.27922226379016502</v>
      </c>
      <c r="D25" s="241" t="str">
        <f t="shared" ref="D25:M25" si="10">IF(E24="","",IF(ABS(D24+E24)=ABS(D24)+ABS(E24),IF(D24&lt;0,-1,1)*(D24-E24)/E24,"Turn"))</f>
        <v/>
      </c>
      <c r="E25" s="241" t="str">
        <f t="shared" si="10"/>
        <v/>
      </c>
      <c r="F25" s="241" t="str">
        <f t="shared" si="10"/>
        <v/>
      </c>
      <c r="G25" s="241" t="str">
        <f t="shared" si="10"/>
        <v/>
      </c>
      <c r="H25" s="241" t="str">
        <f t="shared" si="10"/>
        <v/>
      </c>
      <c r="I25" s="241" t="str">
        <f t="shared" si="10"/>
        <v/>
      </c>
      <c r="J25" s="241" t="str">
        <f t="shared" si="10"/>
        <v/>
      </c>
      <c r="K25" s="241" t="str">
        <f t="shared" si="10"/>
        <v/>
      </c>
      <c r="L25" s="241" t="str">
        <f t="shared" si="10"/>
        <v/>
      </c>
      <c r="M25" s="241" t="str">
        <f t="shared" si="10"/>
        <v/>
      </c>
      <c r="N25" s="87"/>
    </row>
    <row r="26" spans="1:14" ht="15.75" customHeight="1" thickTop="1" x14ac:dyDescent="0.15">
      <c r="A26" s="16"/>
      <c r="B26" s="113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 t="str">
        <f>IF(Inputs!D28="","",Inputs!D28)</f>
        <v/>
      </c>
      <c r="E28" s="200" t="str">
        <f>IF(Inputs!E28="","",Inputs!E28)</f>
        <v/>
      </c>
      <c r="F28" s="200" t="str">
        <f>IF(Inputs!F28="","",Inputs!F28)</f>
        <v/>
      </c>
      <c r="G28" s="200" t="str">
        <f>IF(Inputs!G28="","",Inputs!G28)</f>
        <v/>
      </c>
      <c r="H28" s="200" t="str">
        <f>IF(Inputs!H28="","",Inputs!H28)</f>
        <v/>
      </c>
      <c r="I28" s="200" t="str">
        <f>IF(Inputs!I28="","",Inputs!I28)</f>
        <v/>
      </c>
      <c r="J28" s="200" t="str">
        <f>IF(Inputs!J28="","",Inputs!J28)</f>
        <v/>
      </c>
      <c r="K28" s="200" t="str">
        <f>IF(Inputs!K28="","",Inputs!K28)</f>
        <v/>
      </c>
      <c r="L28" s="200" t="str">
        <f>IF(Inputs!L28="","",Inputs!L28)</f>
        <v/>
      </c>
      <c r="M28" s="200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 t="str">
        <f>IF(Inputs!D29="","",Inputs!D29)</f>
        <v/>
      </c>
      <c r="E29" s="200" t="str">
        <f>IF(Inputs!E29="","",Inputs!E29)</f>
        <v/>
      </c>
      <c r="F29" s="200" t="str">
        <f>IF(Inputs!F29="","",Inputs!F29)</f>
        <v/>
      </c>
      <c r="G29" s="200" t="str">
        <f>IF(Inputs!G29="","",Inputs!G29)</f>
        <v/>
      </c>
      <c r="H29" s="200" t="str">
        <f>IF(Inputs!H29="","",Inputs!H29)</f>
        <v/>
      </c>
      <c r="I29" s="200" t="str">
        <f>IF(Inputs!I29="","",Inputs!I29)</f>
        <v/>
      </c>
      <c r="J29" s="200" t="str">
        <f>IF(Inputs!J29="","",Inputs!J29)</f>
        <v/>
      </c>
      <c r="K29" s="200" t="str">
        <f>IF(Inputs!K29="","",Inputs!K29)</f>
        <v/>
      </c>
      <c r="L29" s="200" t="str">
        <f>IF(Inputs!L29="","",Inputs!L29)</f>
        <v/>
      </c>
      <c r="M29" s="200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0" t="str">
        <f>IF(Inputs!D30="","",Inputs!D30)</f>
        <v/>
      </c>
      <c r="E30" s="200" t="str">
        <f>IF(Inputs!E30="","",Inputs!E30)</f>
        <v/>
      </c>
      <c r="F30" s="200" t="str">
        <f>IF(Inputs!F30="","",Inputs!F30)</f>
        <v/>
      </c>
      <c r="G30" s="200" t="str">
        <f>IF(Inputs!G30="","",Inputs!G30)</f>
        <v/>
      </c>
      <c r="H30" s="200" t="str">
        <f>IF(Inputs!H30="","",Inputs!H30)</f>
        <v/>
      </c>
      <c r="I30" s="200" t="str">
        <f>IF(Inputs!I30="","",Inputs!I30)</f>
        <v/>
      </c>
      <c r="J30" s="200" t="str">
        <f>IF(Inputs!J30="","",Inputs!J30)</f>
        <v/>
      </c>
      <c r="K30" s="200" t="str">
        <f>IF(Inputs!K30="","",Inputs!K30)</f>
        <v/>
      </c>
      <c r="L30" s="200" t="str">
        <f>IF(Inputs!L30="","",Inputs!L30)</f>
        <v/>
      </c>
      <c r="M30" s="200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 t="str">
        <f>IF(Inputs!D31="","",Inputs!D31)</f>
        <v/>
      </c>
      <c r="E31" s="200" t="str">
        <f>IF(Inputs!E31="","",Inputs!E31)</f>
        <v/>
      </c>
      <c r="F31" s="200" t="str">
        <f>IF(Inputs!F31="","",Inputs!F31)</f>
        <v/>
      </c>
      <c r="G31" s="200" t="str">
        <f>IF(Inputs!G31="","",Inputs!G31)</f>
        <v/>
      </c>
      <c r="H31" s="200" t="str">
        <f>IF(Inputs!H31="","",Inputs!H31)</f>
        <v/>
      </c>
      <c r="I31" s="200" t="str">
        <f>IF(Inputs!I31="","",Inputs!I31)</f>
        <v/>
      </c>
      <c r="J31" s="200" t="str">
        <f>IF(Inputs!J31="","",Inputs!J31)</f>
        <v/>
      </c>
      <c r="K31" s="200" t="str">
        <f>IF(Inputs!K31="","",Inputs!K31)</f>
        <v/>
      </c>
      <c r="L31" s="200" t="str">
        <f>IF(Inputs!L31="","",Inputs!L31)</f>
        <v/>
      </c>
      <c r="M31" s="200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 t="str">
        <f>IF(Inputs!D32="","",Inputs!D32)</f>
        <v/>
      </c>
      <c r="E32" s="200" t="str">
        <f>IF(Inputs!E32="","",Inputs!E32)</f>
        <v/>
      </c>
      <c r="F32" s="200" t="str">
        <f>IF(Inputs!F32="","",Inputs!F32)</f>
        <v/>
      </c>
      <c r="G32" s="200" t="str">
        <f>IF(Inputs!G32="","",Inputs!G32)</f>
        <v/>
      </c>
      <c r="H32" s="200" t="str">
        <f>IF(Inputs!H32="","",Inputs!H32)</f>
        <v/>
      </c>
      <c r="I32" s="200" t="str">
        <f>IF(Inputs!I32="","",Inputs!I32)</f>
        <v/>
      </c>
      <c r="J32" s="200" t="str">
        <f>IF(Inputs!J32="","",Inputs!J32)</f>
        <v/>
      </c>
      <c r="K32" s="200" t="str">
        <f>IF(Inputs!K32="","",Inputs!K32)</f>
        <v/>
      </c>
      <c r="L32" s="200" t="str">
        <f>IF(Inputs!L32="","",Inputs!L32)</f>
        <v/>
      </c>
      <c r="M32" s="200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 t="str">
        <f>IF(Inputs!D33="","",Inputs!D33)</f>
        <v/>
      </c>
      <c r="E33" s="200" t="str">
        <f>IF(Inputs!E33="","",Inputs!E33)</f>
        <v/>
      </c>
      <c r="F33" s="200" t="str">
        <f>IF(Inputs!F33="","",Inputs!F33)</f>
        <v/>
      </c>
      <c r="G33" s="200" t="str">
        <f>IF(Inputs!G33="","",Inputs!G33)</f>
        <v/>
      </c>
      <c r="H33" s="200" t="str">
        <f>IF(Inputs!H33="","",Inputs!H33)</f>
        <v/>
      </c>
      <c r="I33" s="200" t="str">
        <f>IF(Inputs!I33="","",Inputs!I33)</f>
        <v/>
      </c>
      <c r="J33" s="200" t="str">
        <f>IF(Inputs!J33="","",Inputs!J33)</f>
        <v/>
      </c>
      <c r="K33" s="200" t="str">
        <f>IF(Inputs!K33="","",Inputs!K33)</f>
        <v/>
      </c>
      <c r="L33" s="200" t="str">
        <f>IF(Inputs!L33="","",Inputs!L33)</f>
        <v/>
      </c>
      <c r="M33" s="200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 t="str">
        <f>IF(Inputs!D34="","",Inputs!D34)</f>
        <v/>
      </c>
      <c r="E34" s="200" t="str">
        <f>IF(Inputs!E34="","",Inputs!E34)</f>
        <v/>
      </c>
      <c r="F34" s="200" t="str">
        <f>IF(Inputs!F34="","",Inputs!F34)</f>
        <v/>
      </c>
      <c r="G34" s="200" t="str">
        <f>IF(Inputs!G34="","",Inputs!G34)</f>
        <v/>
      </c>
      <c r="H34" s="200" t="str">
        <f>IF(Inputs!H34="","",Inputs!H34)</f>
        <v/>
      </c>
      <c r="I34" s="200" t="str">
        <f>IF(Inputs!I34="","",Inputs!I34)</f>
        <v/>
      </c>
      <c r="J34" s="200" t="str">
        <f>IF(Inputs!J34="","",Inputs!J34)</f>
        <v/>
      </c>
      <c r="K34" s="200" t="str">
        <f>IF(Inputs!K34="","",Inputs!K34)</f>
        <v/>
      </c>
      <c r="L34" s="200" t="str">
        <f>IF(Inputs!L34="","",Inputs!L34)</f>
        <v/>
      </c>
      <c r="M34" s="200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0" t="str">
        <f>IF(Inputs!D35="","",Inputs!D35)</f>
        <v/>
      </c>
      <c r="E36" s="200" t="str">
        <f>IF(Inputs!E35="","",Inputs!E35)</f>
        <v/>
      </c>
      <c r="F36" s="200" t="str">
        <f>IF(Inputs!F35="","",Inputs!F35)</f>
        <v/>
      </c>
      <c r="G36" s="200" t="str">
        <f>IF(Inputs!G35="","",Inputs!G35)</f>
        <v/>
      </c>
      <c r="H36" s="200" t="str">
        <f>IF(Inputs!H35="","",Inputs!H35)</f>
        <v/>
      </c>
      <c r="I36" s="200" t="str">
        <f>IF(Inputs!I35="","",Inputs!I35)</f>
        <v/>
      </c>
      <c r="J36" s="200" t="str">
        <f>IF(Inputs!J35="","",Inputs!J35)</f>
        <v/>
      </c>
      <c r="K36" s="200" t="str">
        <f>IF(Inputs!K35="","",Inputs!K35)</f>
        <v/>
      </c>
      <c r="L36" s="200" t="str">
        <f>IF(Inputs!L35="","",Inputs!L35)</f>
        <v/>
      </c>
      <c r="M36" s="200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0" t="str">
        <f>IF(Inputs!D36="","",Inputs!D36)</f>
        <v/>
      </c>
      <c r="E37" s="200" t="str">
        <f>IF(Inputs!E36="","",Inputs!E36)</f>
        <v/>
      </c>
      <c r="F37" s="200" t="str">
        <f>IF(Inputs!F36="","",Inputs!F36)</f>
        <v/>
      </c>
      <c r="G37" s="200" t="str">
        <f>IF(Inputs!G36="","",Inputs!G36)</f>
        <v/>
      </c>
      <c r="H37" s="200" t="str">
        <f>IF(Inputs!H36="","",Inputs!H36)</f>
        <v/>
      </c>
      <c r="I37" s="200" t="str">
        <f>IF(Inputs!I36="","",Inputs!I36)</f>
        <v/>
      </c>
      <c r="J37" s="200" t="str">
        <f>IF(Inputs!J36="","",Inputs!J36)</f>
        <v/>
      </c>
      <c r="K37" s="200" t="str">
        <f>IF(Inputs!K36="","",Inputs!K36)</f>
        <v/>
      </c>
      <c r="L37" s="200" t="str">
        <f>IF(Inputs!L36="","",Inputs!L36)</f>
        <v/>
      </c>
      <c r="M37" s="200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0" t="str">
        <f>IF(Inputs!D37="","",Inputs!D37)</f>
        <v/>
      </c>
      <c r="E38" s="200" t="str">
        <f>IF(Inputs!E37="","",Inputs!E37)</f>
        <v/>
      </c>
      <c r="F38" s="200" t="str">
        <f>IF(Inputs!F37="","",Inputs!F37)</f>
        <v/>
      </c>
      <c r="G38" s="200" t="str">
        <f>IF(Inputs!G37="","",Inputs!G37)</f>
        <v/>
      </c>
      <c r="H38" s="200" t="str">
        <f>IF(Inputs!H37="","",Inputs!H37)</f>
        <v/>
      </c>
      <c r="I38" s="200" t="str">
        <f>IF(Inputs!I37="","",Inputs!I37)</f>
        <v/>
      </c>
      <c r="J38" s="200" t="str">
        <f>IF(Inputs!J37="","",Inputs!J37)</f>
        <v/>
      </c>
      <c r="K38" s="200" t="str">
        <f>IF(Inputs!K37="","",Inputs!K37)</f>
        <v/>
      </c>
      <c r="L38" s="200" t="str">
        <f>IF(Inputs!L37="","",Inputs!L37)</f>
        <v/>
      </c>
      <c r="M38" s="200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2" t="e">
        <f>IF(C6="","",C14/MAX(C39,0))</f>
        <v>#DIV/0!</v>
      </c>
      <c r="D40" s="152" t="e">
        <f>IF(D6="","",D14/MAX(D39,0))</f>
        <v>#DIV/0!</v>
      </c>
      <c r="E40" s="152" t="str">
        <f>IF(E6="","",E14/MAX(E39,0))</f>
        <v/>
      </c>
      <c r="F40" s="152" t="str">
        <f t="shared" ref="F40:M40" si="33">IF(F39="","",F14/F39)</f>
        <v/>
      </c>
      <c r="G40" s="152" t="str">
        <f t="shared" si="33"/>
        <v/>
      </c>
      <c r="H40" s="152" t="str">
        <f t="shared" si="33"/>
        <v/>
      </c>
      <c r="I40" s="152" t="str">
        <f t="shared" si="33"/>
        <v/>
      </c>
      <c r="J40" s="152" t="str">
        <f t="shared" si="33"/>
        <v/>
      </c>
      <c r="K40" s="152" t="str">
        <f t="shared" si="33"/>
        <v/>
      </c>
      <c r="L40" s="152" t="str">
        <f t="shared" si="33"/>
        <v/>
      </c>
      <c r="M40" s="152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3">
        <f t="shared" ref="C42:M42" si="34">IF(C6="","",C8/C6)</f>
        <v>0.69931288683936033</v>
      </c>
      <c r="D42" s="153">
        <f t="shared" si="34"/>
        <v>0.6804618348157202</v>
      </c>
      <c r="E42" s="153" t="str">
        <f t="shared" si="34"/>
        <v/>
      </c>
      <c r="F42" s="153" t="str">
        <f t="shared" si="34"/>
        <v/>
      </c>
      <c r="G42" s="153" t="str">
        <f t="shared" si="34"/>
        <v/>
      </c>
      <c r="H42" s="153" t="str">
        <f t="shared" si="34"/>
        <v/>
      </c>
      <c r="I42" s="153" t="str">
        <f t="shared" si="34"/>
        <v/>
      </c>
      <c r="J42" s="153" t="str">
        <f t="shared" si="34"/>
        <v/>
      </c>
      <c r="K42" s="153" t="str">
        <f t="shared" si="34"/>
        <v/>
      </c>
      <c r="L42" s="153" t="str">
        <f t="shared" si="34"/>
        <v/>
      </c>
      <c r="M42" s="153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0">
        <f t="shared" ref="C43:M43" si="35">IF(C6="","",(C10+MAX(C11,0))/C6)</f>
        <v>0.22200134640260258</v>
      </c>
      <c r="D43" s="150">
        <f t="shared" si="35"/>
        <v>0.23931040716170759</v>
      </c>
      <c r="E43" s="150" t="str">
        <f t="shared" si="35"/>
        <v/>
      </c>
      <c r="F43" s="150" t="str">
        <f t="shared" si="35"/>
        <v/>
      </c>
      <c r="G43" s="150" t="str">
        <f t="shared" si="35"/>
        <v/>
      </c>
      <c r="H43" s="150" t="str">
        <f t="shared" si="35"/>
        <v/>
      </c>
      <c r="I43" s="150" t="str">
        <f t="shared" si="35"/>
        <v/>
      </c>
      <c r="J43" s="150" t="str">
        <f t="shared" si="35"/>
        <v/>
      </c>
      <c r="K43" s="150" t="str">
        <f t="shared" si="35"/>
        <v/>
      </c>
      <c r="L43" s="150" t="str">
        <f t="shared" si="35"/>
        <v/>
      </c>
      <c r="M43" s="150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0">
        <f t="shared" ref="C44:M44" si="36">IF(C6="","",MAX(C16,0)/C6)</f>
        <v>0</v>
      </c>
      <c r="D44" s="150">
        <f t="shared" si="36"/>
        <v>0</v>
      </c>
      <c r="E44" s="150" t="str">
        <f t="shared" si="36"/>
        <v/>
      </c>
      <c r="F44" s="150" t="str">
        <f t="shared" si="36"/>
        <v/>
      </c>
      <c r="G44" s="150" t="str">
        <f t="shared" si="36"/>
        <v/>
      </c>
      <c r="H44" s="150" t="str">
        <f t="shared" si="36"/>
        <v/>
      </c>
      <c r="I44" s="150" t="str">
        <f t="shared" si="36"/>
        <v/>
      </c>
      <c r="J44" s="150" t="str">
        <f t="shared" si="36"/>
        <v/>
      </c>
      <c r="K44" s="150" t="str">
        <f t="shared" si="36"/>
        <v/>
      </c>
      <c r="L44" s="150" t="str">
        <f t="shared" si="36"/>
        <v/>
      </c>
      <c r="M44" s="150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0">
        <f t="shared" ref="C45:M45" si="37">IF(C6="","",MAX(C17,0)/C6)</f>
        <v>2.1205737325435711E-3</v>
      </c>
      <c r="D45" s="150">
        <f t="shared" si="37"/>
        <v>1.8717457856541652E-3</v>
      </c>
      <c r="E45" s="150" t="str">
        <f t="shared" si="37"/>
        <v/>
      </c>
      <c r="F45" s="150" t="str">
        <f t="shared" si="37"/>
        <v/>
      </c>
      <c r="G45" s="150" t="str">
        <f t="shared" si="37"/>
        <v/>
      </c>
      <c r="H45" s="150" t="str">
        <f t="shared" si="37"/>
        <v/>
      </c>
      <c r="I45" s="150" t="str">
        <f t="shared" si="37"/>
        <v/>
      </c>
      <c r="J45" s="150" t="str">
        <f t="shared" si="37"/>
        <v/>
      </c>
      <c r="K45" s="150" t="str">
        <f t="shared" si="37"/>
        <v/>
      </c>
      <c r="L45" s="150" t="str">
        <f t="shared" si="37"/>
        <v/>
      </c>
      <c r="M45" s="150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0">
        <f>IF(C6="","",MAX(C12,0)/C6)</f>
        <v>0</v>
      </c>
      <c r="D46" s="150">
        <f t="shared" ref="D46:M46" si="38">IF(D6="","",MAX(D12,0)/D6)</f>
        <v>0</v>
      </c>
      <c r="E46" s="150" t="str">
        <f t="shared" si="38"/>
        <v/>
      </c>
      <c r="F46" s="150" t="str">
        <f t="shared" si="38"/>
        <v/>
      </c>
      <c r="G46" s="150" t="str">
        <f t="shared" si="38"/>
        <v/>
      </c>
      <c r="H46" s="150" t="str">
        <f t="shared" si="38"/>
        <v/>
      </c>
      <c r="I46" s="150" t="str">
        <f t="shared" si="38"/>
        <v/>
      </c>
      <c r="J46" s="150" t="str">
        <f t="shared" si="38"/>
        <v/>
      </c>
      <c r="K46" s="150" t="str">
        <f t="shared" si="38"/>
        <v/>
      </c>
      <c r="L46" s="150" t="str">
        <f t="shared" si="38"/>
        <v/>
      </c>
      <c r="M46" s="150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0">
        <f>IF(C6="","",ABS(MAX(C21,0)-MAX(C19,0))/C6)</f>
        <v>0</v>
      </c>
      <c r="D47" s="150">
        <f t="shared" ref="D47:M47" si="39">IF(D6="","",ABS(MAX(D21,0)-MAX(D19,0))/D6)</f>
        <v>0</v>
      </c>
      <c r="E47" s="150" t="str">
        <f t="shared" si="39"/>
        <v/>
      </c>
      <c r="F47" s="150" t="str">
        <f t="shared" si="39"/>
        <v/>
      </c>
      <c r="G47" s="150" t="str">
        <f t="shared" si="39"/>
        <v/>
      </c>
      <c r="H47" s="150" t="str">
        <f t="shared" si="39"/>
        <v/>
      </c>
      <c r="I47" s="150" t="str">
        <f t="shared" si="39"/>
        <v/>
      </c>
      <c r="J47" s="150" t="str">
        <f t="shared" si="39"/>
        <v/>
      </c>
      <c r="K47" s="150" t="str">
        <f t="shared" si="39"/>
        <v/>
      </c>
      <c r="L47" s="150" t="str">
        <f t="shared" si="39"/>
        <v/>
      </c>
      <c r="M47" s="150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0">
        <f t="shared" ref="C48:M48" si="40">IF(C6="","",C22/C6)</f>
        <v>7.6565193025493528E-2</v>
      </c>
      <c r="D48" s="150">
        <f t="shared" si="40"/>
        <v>7.8356012236918071E-2</v>
      </c>
      <c r="E48" s="150" t="str">
        <f t="shared" si="40"/>
        <v/>
      </c>
      <c r="F48" s="150" t="str">
        <f t="shared" si="40"/>
        <v/>
      </c>
      <c r="G48" s="150" t="str">
        <f t="shared" si="40"/>
        <v/>
      </c>
      <c r="H48" s="150" t="str">
        <f t="shared" si="40"/>
        <v/>
      </c>
      <c r="I48" s="150" t="str">
        <f t="shared" si="40"/>
        <v/>
      </c>
      <c r="J48" s="150" t="str">
        <f t="shared" si="40"/>
        <v/>
      </c>
      <c r="K48" s="150" t="str">
        <f t="shared" si="40"/>
        <v/>
      </c>
      <c r="L48" s="150" t="str">
        <f t="shared" si="40"/>
        <v/>
      </c>
      <c r="M48" s="150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3">
        <f t="shared" ref="C50:M50" si="41">IF(C29="","",C29/C6)</f>
        <v>0</v>
      </c>
      <c r="D50" s="153" t="str">
        <f t="shared" si="41"/>
        <v/>
      </c>
      <c r="E50" s="153" t="str">
        <f t="shared" si="41"/>
        <v/>
      </c>
      <c r="F50" s="153" t="str">
        <f t="shared" si="41"/>
        <v/>
      </c>
      <c r="G50" s="153" t="str">
        <f t="shared" si="41"/>
        <v/>
      </c>
      <c r="H50" s="153" t="str">
        <f t="shared" si="41"/>
        <v/>
      </c>
      <c r="I50" s="153" t="str">
        <f t="shared" si="41"/>
        <v/>
      </c>
      <c r="J50" s="153" t="str">
        <f t="shared" si="41"/>
        <v/>
      </c>
      <c r="K50" s="153" t="str">
        <f t="shared" si="41"/>
        <v/>
      </c>
      <c r="L50" s="153" t="str">
        <f t="shared" si="41"/>
        <v/>
      </c>
      <c r="M50" s="153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0">
        <f t="shared" ref="C51:M51" si="42">IF(C30="","",C30/C6)</f>
        <v>0</v>
      </c>
      <c r="D51" s="150" t="str">
        <f t="shared" si="42"/>
        <v/>
      </c>
      <c r="E51" s="150" t="str">
        <f t="shared" si="42"/>
        <v/>
      </c>
      <c r="F51" s="150" t="str">
        <f t="shared" si="42"/>
        <v/>
      </c>
      <c r="G51" s="150" t="str">
        <f t="shared" si="42"/>
        <v/>
      </c>
      <c r="H51" s="150" t="str">
        <f t="shared" si="42"/>
        <v/>
      </c>
      <c r="I51" s="150" t="str">
        <f t="shared" si="42"/>
        <v/>
      </c>
      <c r="J51" s="150" t="str">
        <f t="shared" si="42"/>
        <v/>
      </c>
      <c r="K51" s="150" t="str">
        <f t="shared" si="42"/>
        <v/>
      </c>
      <c r="L51" s="150" t="str">
        <f t="shared" si="42"/>
        <v/>
      </c>
      <c r="M51" s="150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3" t="e">
        <f>IF(C36="","",(C27-C36)/C27)</f>
        <v>#DIV/0!</v>
      </c>
      <c r="D53" s="153" t="str">
        <f t="shared" ref="D53:M53" si="43">IF(D36="","",(D27-D36)/D27)</f>
        <v/>
      </c>
      <c r="E53" s="153" t="str">
        <f t="shared" si="43"/>
        <v/>
      </c>
      <c r="F53" s="153" t="str">
        <f t="shared" si="43"/>
        <v/>
      </c>
      <c r="G53" s="153" t="str">
        <f t="shared" si="43"/>
        <v/>
      </c>
      <c r="H53" s="153" t="str">
        <f t="shared" si="43"/>
        <v/>
      </c>
      <c r="I53" s="153" t="str">
        <f t="shared" si="43"/>
        <v/>
      </c>
      <c r="J53" s="153" t="str">
        <f t="shared" si="43"/>
        <v/>
      </c>
      <c r="K53" s="153" t="str">
        <f t="shared" si="43"/>
        <v/>
      </c>
      <c r="L53" s="153" t="str">
        <f t="shared" si="43"/>
        <v/>
      </c>
      <c r="M53" s="153" t="str">
        <f t="shared" si="43"/>
        <v/>
      </c>
    </row>
    <row r="54" spans="1:14" ht="15.75" customHeight="1" x14ac:dyDescent="0.15">
      <c r="A54" s="4"/>
      <c r="B54" s="94" t="s">
        <v>121</v>
      </c>
      <c r="C54" s="154" t="str">
        <f t="shared" ref="C54:M54" si="44">IF(OR(C22="",C35=""),"",IF(C35&lt;=0,"-",C22/C35))</f>
        <v>-</v>
      </c>
      <c r="D54" s="154" t="str">
        <f t="shared" si="44"/>
        <v/>
      </c>
      <c r="E54" s="154" t="str">
        <f t="shared" si="44"/>
        <v/>
      </c>
      <c r="F54" s="154" t="str">
        <f t="shared" si="44"/>
        <v/>
      </c>
      <c r="G54" s="154" t="str">
        <f t="shared" si="44"/>
        <v/>
      </c>
      <c r="H54" s="154" t="str">
        <f t="shared" si="44"/>
        <v/>
      </c>
      <c r="I54" s="154" t="str">
        <f t="shared" si="44"/>
        <v/>
      </c>
      <c r="J54" s="154" t="str">
        <f t="shared" si="44"/>
        <v/>
      </c>
      <c r="K54" s="154" t="str">
        <f t="shared" si="44"/>
        <v/>
      </c>
      <c r="L54" s="154" t="str">
        <f t="shared" si="44"/>
        <v/>
      </c>
      <c r="M54" s="154" t="str">
        <f t="shared" si="44"/>
        <v/>
      </c>
    </row>
    <row r="55" spans="1:14" ht="15.75" customHeight="1" x14ac:dyDescent="0.15">
      <c r="A55" s="4"/>
      <c r="B55" s="94" t="s">
        <v>123</v>
      </c>
      <c r="C55" s="150">
        <f t="shared" ref="C55:M55" si="45">IF(C22="","",IF(MAX(C17,0)&lt;=0,"-",C17/C22))</f>
        <v>2.7696315371888294E-2</v>
      </c>
      <c r="D55" s="150">
        <f t="shared" si="45"/>
        <v>2.3887711130509484E-2</v>
      </c>
      <c r="E55" s="150" t="str">
        <f t="shared" si="45"/>
        <v/>
      </c>
      <c r="F55" s="150" t="str">
        <f t="shared" si="45"/>
        <v/>
      </c>
      <c r="G55" s="150" t="str">
        <f t="shared" si="45"/>
        <v/>
      </c>
      <c r="H55" s="150" t="str">
        <f t="shared" si="45"/>
        <v/>
      </c>
      <c r="I55" s="150" t="str">
        <f t="shared" si="45"/>
        <v/>
      </c>
      <c r="J55" s="150" t="str">
        <f t="shared" si="45"/>
        <v/>
      </c>
      <c r="K55" s="150" t="str">
        <f t="shared" si="45"/>
        <v/>
      </c>
      <c r="L55" s="150" t="str">
        <f t="shared" si="45"/>
        <v/>
      </c>
      <c r="M55" s="150" t="str">
        <f t="shared" si="45"/>
        <v/>
      </c>
    </row>
    <row r="56" spans="1:14" ht="15.75" customHeight="1" x14ac:dyDescent="0.15">
      <c r="A56" s="4"/>
      <c r="B56" s="98" t="s">
        <v>21</v>
      </c>
      <c r="C56" s="155" t="e">
        <f t="shared" ref="C56:M56" si="46">IF(C28="","",C28/C31)</f>
        <v>#DIV/0!</v>
      </c>
      <c r="D56" s="155" t="str">
        <f t="shared" si="46"/>
        <v/>
      </c>
      <c r="E56" s="155" t="str">
        <f t="shared" si="46"/>
        <v/>
      </c>
      <c r="F56" s="155" t="str">
        <f t="shared" si="46"/>
        <v/>
      </c>
      <c r="G56" s="155" t="str">
        <f t="shared" si="46"/>
        <v/>
      </c>
      <c r="H56" s="155" t="str">
        <f t="shared" si="46"/>
        <v/>
      </c>
      <c r="I56" s="155" t="str">
        <f t="shared" si="46"/>
        <v/>
      </c>
      <c r="J56" s="155" t="str">
        <f t="shared" si="46"/>
        <v/>
      </c>
      <c r="K56" s="155" t="str">
        <f t="shared" si="46"/>
        <v/>
      </c>
      <c r="L56" s="155" t="str">
        <f t="shared" si="46"/>
        <v/>
      </c>
      <c r="M56" s="155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3" zoomScaleNormal="100" workbookViewId="0">
      <selection activeCell="H103" sqref="H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5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0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199">
        <f>Inputs!D40</f>
        <v>0.9</v>
      </c>
      <c r="E11" s="88">
        <f t="shared" ref="E11:E22" si="0">C11*D11</f>
        <v>0</v>
      </c>
      <c r="F11" s="111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199">
        <f>Inputs!D41</f>
        <v>0.8</v>
      </c>
      <c r="E12" s="88">
        <f t="shared" si="0"/>
        <v>0</v>
      </c>
      <c r="F12" s="111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199">
        <f>Inputs!D42</f>
        <v>0.6</v>
      </c>
      <c r="E13" s="88">
        <f t="shared" si="0"/>
        <v>0</v>
      </c>
      <c r="F13" s="111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199">
        <f>Inputs!D43</f>
        <v>0.6</v>
      </c>
      <c r="E14" s="88">
        <f t="shared" si="0"/>
        <v>0</v>
      </c>
      <c r="F14" s="111"/>
      <c r="G14" s="87"/>
      <c r="H14" s="86" t="s">
        <v>43</v>
      </c>
      <c r="I14" s="206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199">
        <f>Inputs!D44</f>
        <v>0.5</v>
      </c>
      <c r="E15" s="88">
        <f t="shared" si="0"/>
        <v>0</v>
      </c>
      <c r="F15" s="111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199">
        <f>Inputs!D45</f>
        <v>0.6</v>
      </c>
      <c r="E16" s="88">
        <f t="shared" si="0"/>
        <v>0</v>
      </c>
      <c r="F16" s="111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199">
        <f>Inputs!D46</f>
        <v>0.1</v>
      </c>
      <c r="E17" s="88">
        <f t="shared" si="0"/>
        <v>0</v>
      </c>
      <c r="F17" s="111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199">
        <f>Inputs!D47</f>
        <v>0.5</v>
      </c>
      <c r="E18" s="88">
        <f t="shared" si="0"/>
        <v>0</v>
      </c>
      <c r="F18" s="111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199">
        <f>Inputs!D48</f>
        <v>0.6</v>
      </c>
      <c r="E19" s="88">
        <f t="shared" si="0"/>
        <v>0</v>
      </c>
      <c r="F19" s="131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199">
        <f>Inputs!D49</f>
        <v>0.6</v>
      </c>
      <c r="E20" s="88">
        <f t="shared" si="0"/>
        <v>0</v>
      </c>
      <c r="F20" s="131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199">
        <f>Inputs!D50</f>
        <v>0.9</v>
      </c>
      <c r="E21" s="88">
        <f t="shared" si="0"/>
        <v>0</v>
      </c>
      <c r="F21" s="111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199">
        <f>Inputs!D51</f>
        <v>0.05</v>
      </c>
      <c r="E22" s="88">
        <f t="shared" si="0"/>
        <v>0</v>
      </c>
      <c r="F22" s="111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0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2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2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2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2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7"/>
      <c r="H28" s="78" t="s">
        <v>16</v>
      </c>
      <c r="I28" s="207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1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199">
        <f>Inputs!D52</f>
        <v>0.8</v>
      </c>
      <c r="E30" s="88">
        <v>0</v>
      </c>
      <c r="F30" s="111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199">
        <f>Inputs!D53</f>
        <v>0.6</v>
      </c>
      <c r="E31" s="88">
        <f t="shared" ref="E31:E42" si="1">C31*D31</f>
        <v>0</v>
      </c>
      <c r="F31" s="111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199">
        <f>Inputs!D54</f>
        <v>0.5</v>
      </c>
      <c r="E32" s="88">
        <f t="shared" si="1"/>
        <v>0</v>
      </c>
      <c r="F32" s="111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199">
        <f>Inputs!D55</f>
        <v>0.5</v>
      </c>
      <c r="E33" s="88">
        <f t="shared" si="1"/>
        <v>0</v>
      </c>
      <c r="F33" s="111"/>
      <c r="G33" s="30">
        <f>IF(F33="Y",0,1)</f>
        <v>1</v>
      </c>
      <c r="H33" s="86" t="s">
        <v>67</v>
      </c>
      <c r="I33" s="206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199">
        <f>Inputs!D56</f>
        <v>0.4</v>
      </c>
      <c r="E34" s="88">
        <f t="shared" si="1"/>
        <v>0</v>
      </c>
      <c r="F34" s="111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199">
        <f>Inputs!D57</f>
        <v>0.1</v>
      </c>
      <c r="E35" s="88">
        <f t="shared" si="1"/>
        <v>0</v>
      </c>
      <c r="F35" s="131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199">
        <f>Inputs!D58</f>
        <v>0.2</v>
      </c>
      <c r="E36" s="88">
        <f t="shared" si="1"/>
        <v>0</v>
      </c>
      <c r="F36" s="131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199">
        <f>Inputs!D59</f>
        <v>0.1</v>
      </c>
      <c r="E37" s="88">
        <f t="shared" si="1"/>
        <v>0</v>
      </c>
      <c r="F37" s="131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199">
        <f>Inputs!D60</f>
        <v>0.1</v>
      </c>
      <c r="E38" s="88">
        <f t="shared" si="1"/>
        <v>0</v>
      </c>
      <c r="F38" s="111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199">
        <f>Inputs!D61</f>
        <v>0.05</v>
      </c>
      <c r="E39" s="88">
        <f t="shared" si="1"/>
        <v>0</v>
      </c>
      <c r="F39" s="111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199">
        <f>Inputs!D62</f>
        <v>0.05</v>
      </c>
      <c r="E40" s="88">
        <f t="shared" si="1"/>
        <v>0</v>
      </c>
      <c r="F40" s="111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199">
        <f>Inputs!D63</f>
        <v>0.9</v>
      </c>
      <c r="E41" s="88">
        <f t="shared" si="1"/>
        <v>0</v>
      </c>
      <c r="F41" s="111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199">
        <f>Inputs!D64</f>
        <v>0</v>
      </c>
      <c r="E42" s="88">
        <f t="shared" si="1"/>
        <v>0</v>
      </c>
      <c r="F42" s="111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3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61">
        <f>I15+I34</f>
        <v>0</v>
      </c>
      <c r="E56" s="259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60">
        <f>Inputs!C77</f>
        <v>0</v>
      </c>
      <c r="E57" s="259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60">
        <f>Inputs!C78</f>
        <v>0</v>
      </c>
      <c r="E58" s="259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0" t="s">
        <v>155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0" t="s">
        <v>156</v>
      </c>
      <c r="C69" s="209"/>
      <c r="D69" s="209"/>
      <c r="E69" s="124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4">
        <f>Data!C5</f>
        <v>45291</v>
      </c>
      <c r="D72" s="264"/>
      <c r="E72" s="262" t="s">
        <v>214</v>
      </c>
      <c r="F72" s="262"/>
      <c r="H72" s="262" t="s">
        <v>213</v>
      </c>
      <c r="I72" s="262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3" t="s">
        <v>101</v>
      </c>
      <c r="D73" s="263"/>
      <c r="E73" s="265" t="s">
        <v>102</v>
      </c>
      <c r="F73" s="263"/>
      <c r="H73" s="265" t="s">
        <v>102</v>
      </c>
      <c r="I73" s="263"/>
      <c r="K73" s="24"/>
    </row>
    <row r="74" spans="1:11" ht="15" customHeight="1" x14ac:dyDescent="0.15">
      <c r="B74" s="3" t="s">
        <v>129</v>
      </c>
      <c r="C74" s="77">
        <f>Data!C6</f>
        <v>4823223</v>
      </c>
      <c r="D74" s="210"/>
      <c r="E74" s="197">
        <f>H74</f>
        <v>4823223</v>
      </c>
      <c r="F74" s="210"/>
      <c r="H74" s="197">
        <f>C74</f>
        <v>4823223</v>
      </c>
      <c r="I74" s="210"/>
      <c r="K74" s="24"/>
    </row>
    <row r="75" spans="1:11" ht="15" customHeight="1" x14ac:dyDescent="0.15">
      <c r="B75" s="104" t="s">
        <v>106</v>
      </c>
      <c r="C75" s="77">
        <f>Data!C8</f>
        <v>3372942</v>
      </c>
      <c r="D75" s="156">
        <f>C75/$C$74</f>
        <v>0.69931288683936033</v>
      </c>
      <c r="E75" s="197">
        <f>E74*D75</f>
        <v>3372942</v>
      </c>
      <c r="F75" s="157">
        <f>E75/E74</f>
        <v>0.69931288683936033</v>
      </c>
      <c r="H75" s="197">
        <f>H74*D75</f>
        <v>3372942</v>
      </c>
      <c r="I75" s="157">
        <f>H75/$H$74</f>
        <v>0.69931288683936033</v>
      </c>
      <c r="K75" s="24"/>
    </row>
    <row r="76" spans="1:11" ht="15" customHeight="1" x14ac:dyDescent="0.15">
      <c r="B76" s="35" t="s">
        <v>96</v>
      </c>
      <c r="C76" s="158">
        <f>C74-C75</f>
        <v>1450281</v>
      </c>
      <c r="D76" s="211"/>
      <c r="E76" s="159">
        <f>E74-E75</f>
        <v>1450281</v>
      </c>
      <c r="F76" s="211"/>
      <c r="H76" s="159">
        <f>H74-H75</f>
        <v>1450281</v>
      </c>
      <c r="I76" s="211"/>
      <c r="K76" s="24"/>
    </row>
    <row r="77" spans="1:11" ht="15" customHeight="1" x14ac:dyDescent="0.15">
      <c r="B77" s="104" t="s">
        <v>262</v>
      </c>
      <c r="C77" s="77">
        <f>Data!C10+MAX(Data!C11,0)</f>
        <v>1070762</v>
      </c>
      <c r="D77" s="156">
        <f>C77/$C$74</f>
        <v>0.22200134640260258</v>
      </c>
      <c r="E77" s="197">
        <f>E74*I77</f>
        <v>1070762</v>
      </c>
      <c r="F77" s="157">
        <f>E77/E74</f>
        <v>0.22200134640260258</v>
      </c>
      <c r="H77" s="197">
        <f>H74*D77</f>
        <v>1070762</v>
      </c>
      <c r="I77" s="157">
        <f>H77/$H$74</f>
        <v>0.22200134640260258</v>
      </c>
      <c r="K77" s="24"/>
    </row>
    <row r="78" spans="1:11" ht="15" customHeight="1" x14ac:dyDescent="0.15">
      <c r="B78" s="35" t="s">
        <v>245</v>
      </c>
      <c r="C78" s="158">
        <f>C76-C77</f>
        <v>379519</v>
      </c>
      <c r="D78" s="211"/>
      <c r="E78" s="159">
        <f>E76-E77</f>
        <v>379519</v>
      </c>
      <c r="F78" s="211"/>
      <c r="H78" s="159">
        <f>H76-H77</f>
        <v>379519</v>
      </c>
      <c r="I78" s="211"/>
      <c r="K78" s="24"/>
    </row>
    <row r="79" spans="1:11" ht="15" customHeight="1" x14ac:dyDescent="0.15">
      <c r="B79" s="104" t="s">
        <v>124</v>
      </c>
      <c r="C79" s="77">
        <f>MAX(Data!C17,0)</f>
        <v>10228</v>
      </c>
      <c r="D79" s="156">
        <f>C79/$C$74</f>
        <v>2.1205737325435711E-3</v>
      </c>
      <c r="E79" s="178">
        <f>E74*F79</f>
        <v>10228</v>
      </c>
      <c r="F79" s="157">
        <f t="shared" ref="F79:F84" si="3">I79</f>
        <v>2.1205737325435711E-3</v>
      </c>
      <c r="H79" s="197">
        <f>H74*D79</f>
        <v>10228</v>
      </c>
      <c r="I79" s="157">
        <f>H79/$H$74</f>
        <v>2.1205737325435711E-3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56">
        <f>C80/$C$74</f>
        <v>0</v>
      </c>
      <c r="E80" s="197">
        <f>E74*I80</f>
        <v>0</v>
      </c>
      <c r="F80" s="157">
        <f>E80/E74</f>
        <v>0</v>
      </c>
      <c r="H80" s="197">
        <f>H74*D80</f>
        <v>0</v>
      </c>
      <c r="I80" s="157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56">
        <f>C81/$C$74</f>
        <v>0</v>
      </c>
      <c r="E81" s="178">
        <f>E74*F81</f>
        <v>0</v>
      </c>
      <c r="F81" s="157">
        <f t="shared" si="3"/>
        <v>0</v>
      </c>
      <c r="H81" s="197">
        <f>H74*D81</f>
        <v>0</v>
      </c>
      <c r="I81" s="157">
        <f>H81/$H$74</f>
        <v>0</v>
      </c>
      <c r="K81" s="179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56">
        <f>C82/$C$74</f>
        <v>0</v>
      </c>
      <c r="E82" s="178">
        <f>E74*F82</f>
        <v>0</v>
      </c>
      <c r="F82" s="157">
        <f t="shared" si="3"/>
        <v>0</v>
      </c>
      <c r="H82" s="197">
        <f>H74*D82</f>
        <v>0</v>
      </c>
      <c r="I82" s="157">
        <f>H82/$H$74</f>
        <v>0</v>
      </c>
      <c r="K82" s="24"/>
    </row>
    <row r="83" spans="1:11" ht="15" customHeight="1" thickBot="1" x14ac:dyDescent="0.2">
      <c r="B83" s="105" t="s">
        <v>128</v>
      </c>
      <c r="C83" s="160">
        <f>C78-C79-C80-C81-C82</f>
        <v>369291</v>
      </c>
      <c r="D83" s="161">
        <f>C83/$C$74</f>
        <v>7.6565193025493528E-2</v>
      </c>
      <c r="E83" s="162">
        <f>E78-E79-E80-E81-E82</f>
        <v>369291</v>
      </c>
      <c r="F83" s="161">
        <f>E83/E74</f>
        <v>7.6565193025493528E-2</v>
      </c>
      <c r="H83" s="162">
        <f>H78-H79-H80-H81-H82</f>
        <v>369291</v>
      </c>
      <c r="I83" s="161">
        <f>H83/$H$74</f>
        <v>7.6565193025493528E-2</v>
      </c>
      <c r="K83" s="24"/>
    </row>
    <row r="84" spans="1:11" ht="15" customHeight="1" thickTop="1" x14ac:dyDescent="0.15">
      <c r="B84" s="28" t="s">
        <v>97</v>
      </c>
      <c r="C84" s="212"/>
      <c r="D84" s="156">
        <f>I84</f>
        <v>0.25</v>
      </c>
      <c r="E84" s="213"/>
      <c r="F84" s="177">
        <f t="shared" si="3"/>
        <v>0.25</v>
      </c>
      <c r="H84" s="213"/>
      <c r="I84" s="203">
        <f>Inputs!C16</f>
        <v>0.25</v>
      </c>
      <c r="K84" s="24"/>
    </row>
    <row r="85" spans="1:11" ht="15" customHeight="1" x14ac:dyDescent="0.15">
      <c r="B85" s="86" t="s">
        <v>169</v>
      </c>
      <c r="C85" s="158">
        <f>C83*(1-I84)</f>
        <v>276968.25</v>
      </c>
      <c r="D85" s="163">
        <f>C85/$C$74</f>
        <v>5.7423894769120153E-2</v>
      </c>
      <c r="E85" s="164">
        <f>E83*(1-F84)</f>
        <v>276968.25</v>
      </c>
      <c r="F85" s="163">
        <f>E85/E74</f>
        <v>5.7423894769120153E-2</v>
      </c>
      <c r="H85" s="164">
        <f>H83*(1-I84)</f>
        <v>276968.25</v>
      </c>
      <c r="I85" s="163">
        <f>H85/$H$74</f>
        <v>5.7423894769120153E-2</v>
      </c>
      <c r="K85" s="24"/>
    </row>
    <row r="86" spans="1:11" ht="15" customHeight="1" x14ac:dyDescent="0.15">
      <c r="B86" s="87" t="s">
        <v>165</v>
      </c>
      <c r="C86" s="165">
        <f>C85*Data!C4/Common_Shares</f>
        <v>4.0854039471861746E-2</v>
      </c>
      <c r="D86" s="210"/>
      <c r="E86" s="166">
        <f>E85*Data!C4/Common_Shares</f>
        <v>4.0854039471861746E-2</v>
      </c>
      <c r="F86" s="210"/>
      <c r="H86" s="166">
        <f>H85*Data!C4/Common_Shares</f>
        <v>4.0854039471861746E-2</v>
      </c>
      <c r="I86" s="210"/>
      <c r="K86" s="24"/>
    </row>
    <row r="87" spans="1:11" ht="15" customHeight="1" x14ac:dyDescent="0.15">
      <c r="B87" s="87" t="s">
        <v>216</v>
      </c>
      <c r="C87" s="157">
        <f>C86*Exchange_Rate/Dashboard!G3</f>
        <v>0.2334516581005823</v>
      </c>
      <c r="D87" s="210"/>
      <c r="E87" s="228">
        <f>E86*Exchange_Rate/Dashboard!G3</f>
        <v>0.2334516581005823</v>
      </c>
      <c r="F87" s="210"/>
      <c r="H87" s="228">
        <f>H86*Exchange_Rate/Dashboard!G3</f>
        <v>0.2334516581005823</v>
      </c>
      <c r="I87" s="210"/>
      <c r="K87" s="24"/>
    </row>
    <row r="88" spans="1:11" ht="15" customHeight="1" x14ac:dyDescent="0.15">
      <c r="B88" s="86" t="s">
        <v>215</v>
      </c>
      <c r="C88" s="167">
        <f>Inputs!F5</f>
        <v>1.21E-2</v>
      </c>
      <c r="D88" s="163">
        <f>C88/C86</f>
        <v>0.29617634281510608</v>
      </c>
      <c r="E88" s="196">
        <f>H88</f>
        <v>1.21E-2</v>
      </c>
      <c r="F88" s="163">
        <f>E88/E86</f>
        <v>0.29617634281510608</v>
      </c>
      <c r="H88" s="168">
        <f>Inputs!F6</f>
        <v>1.21E-2</v>
      </c>
      <c r="I88" s="163">
        <f>H88/H86</f>
        <v>0.29617634281510608</v>
      </c>
      <c r="K88" s="24"/>
    </row>
    <row r="89" spans="1:11" ht="15" customHeight="1" x14ac:dyDescent="0.15">
      <c r="B89" s="87" t="s">
        <v>231</v>
      </c>
      <c r="C89" s="157">
        <f>C88*Exchange_Rate/Dashboard!G3</f>
        <v>6.9142858320352996E-2</v>
      </c>
      <c r="D89" s="210"/>
      <c r="E89" s="157">
        <f>E88*Exchange_Rate/Dashboard!G3</f>
        <v>6.9142858320352996E-2</v>
      </c>
      <c r="F89" s="210"/>
      <c r="H89" s="157">
        <f>H88*Exchange_Rate/Dashboard!G3</f>
        <v>6.9142858320352996E-2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199" t="str">
        <f>Inputs!C15</f>
        <v>HK</v>
      </c>
      <c r="D92" s="10" t="s">
        <v>161</v>
      </c>
      <c r="E92" s="262" t="s">
        <v>214</v>
      </c>
      <c r="F92" s="262"/>
      <c r="G92" s="87"/>
      <c r="H92" s="262" t="s">
        <v>213</v>
      </c>
      <c r="I92" s="262"/>
      <c r="K92" s="24"/>
    </row>
    <row r="93" spans="1:11" ht="15" customHeight="1" x14ac:dyDescent="0.15">
      <c r="B93" s="1" t="str">
        <f>C92&amp;" Required Return"</f>
        <v>HK Required Return</v>
      </c>
      <c r="C93" s="133">
        <f>IF(C92="CN",Dashboard!C17,IF(C92="US",Dashboard!C12,IF(C92="HK",Dashboard!D12,Dashboard!D17)))</f>
        <v>6.6000000000000003E-2</v>
      </c>
      <c r="D93" s="198">
        <v>5</v>
      </c>
      <c r="E93" s="87" t="s">
        <v>217</v>
      </c>
      <c r="F93" s="249">
        <f>FV(E87,D93,0,-(E86/C93))</f>
        <v>1.7672652350072033</v>
      </c>
      <c r="H93" s="87" t="s">
        <v>217</v>
      </c>
      <c r="I93" s="249">
        <f>FV(H87,D93,0,-(H86/C93))</f>
        <v>1.7672652350072033</v>
      </c>
      <c r="K93" s="24"/>
    </row>
    <row r="94" spans="1:11" ht="15" customHeight="1" x14ac:dyDescent="0.15">
      <c r="B94" s="1" t="s">
        <v>219</v>
      </c>
      <c r="C94" s="180">
        <f>Dashboard!G20</f>
        <v>0.25</v>
      </c>
      <c r="D94" s="142"/>
      <c r="E94" s="87" t="s">
        <v>218</v>
      </c>
      <c r="F94" s="249">
        <f>FV(E89,D93,0,-(E88/C93))</f>
        <v>0.25610622295789875</v>
      </c>
      <c r="H94" s="87" t="s">
        <v>218</v>
      </c>
      <c r="I94" s="249">
        <f>FV(H89,D93,0,-(H88/C93))</f>
        <v>0.25610622295789875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5" t="str">
        <f>Dashboard!H3</f>
        <v>HKD</v>
      </c>
      <c r="D96" s="122" t="s">
        <v>222</v>
      </c>
      <c r="E96" s="181" t="str">
        <f>E72</f>
        <v>Pessimistic Case</v>
      </c>
      <c r="F96" s="235" t="s">
        <v>250</v>
      </c>
      <c r="H96" s="181" t="str">
        <f>H72</f>
        <v>Base Case</v>
      </c>
      <c r="I96" s="122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8703835.8852283955</v>
      </c>
      <c r="D97" s="214"/>
      <c r="E97" s="246">
        <f>PV(C93,D93,0,-F93)*Exchange_Rate</f>
        <v>1.2838542136570803</v>
      </c>
      <c r="F97" s="214"/>
      <c r="H97" s="246">
        <f>PV(C93,D93,0,-I93)*Exchange_Rate</f>
        <v>1.2838542136570803</v>
      </c>
      <c r="I97" s="216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4"/>
      <c r="E98" s="247"/>
      <c r="F98" s="214"/>
      <c r="H98" s="246">
        <f>C98*Data!$C$4/Common_Shares</f>
        <v>0</v>
      </c>
      <c r="I98" s="216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15"/>
      <c r="E99" s="248">
        <f>IF(H99&gt;0,H99*0.85,H99*1.15)</f>
        <v>0</v>
      </c>
      <c r="F99" s="215"/>
      <c r="H99" s="248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8703835.8852283955</v>
      </c>
      <c r="D100" s="244">
        <f>F100*(1-C94)</f>
        <v>0.96289066024281023</v>
      </c>
      <c r="E100" s="244">
        <f>MAX(E97-H98+E99,0)</f>
        <v>1.2838542136570803</v>
      </c>
      <c r="F100" s="244">
        <f>(E100+H100)/2</f>
        <v>1.2838542136570803</v>
      </c>
      <c r="G100" s="245"/>
      <c r="H100" s="244">
        <f>MAX(C100*Data!$C$4/Common_Shares,0)</f>
        <v>1.2838542136570803</v>
      </c>
      <c r="I100" s="244">
        <f>F100*1.25</f>
        <v>1.6048177670713504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5" t="str">
        <f>C96</f>
        <v>HKD</v>
      </c>
      <c r="D102" s="122" t="s">
        <v>222</v>
      </c>
      <c r="E102" s="181" t="str">
        <f>E96</f>
        <v>Pessimistic Case</v>
      </c>
      <c r="F102" s="235" t="s">
        <v>250</v>
      </c>
      <c r="H102" s="181" t="str">
        <f>H96</f>
        <v>Base Case</v>
      </c>
      <c r="I102" s="122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1261331.0609271266</v>
      </c>
      <c r="D103" s="244">
        <f>F103*(1-C94)</f>
        <v>0.13953892445307925</v>
      </c>
      <c r="E103" s="246">
        <f>PV(C93,D93,0,-F94)*Exchange_Rate</f>
        <v>0.18605189927077234</v>
      </c>
      <c r="F103" s="244">
        <f>(E103+H103)/2</f>
        <v>0.18605189927077234</v>
      </c>
      <c r="G103" s="245"/>
      <c r="H103" s="246">
        <f>PV(C93,D93,0,-I94)*Exchange_Rate</f>
        <v>0.18605189927077234</v>
      </c>
      <c r="I103" s="244">
        <f>F103*1.25</f>
        <v>0.23256487408846543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5" t="str">
        <f>C102</f>
        <v>HKD</v>
      </c>
      <c r="D105" s="122" t="s">
        <v>222</v>
      </c>
      <c r="E105" s="182" t="str">
        <f>E96</f>
        <v>Pessimistic Case</v>
      </c>
      <c r="F105" s="235" t="s">
        <v>250</v>
      </c>
      <c r="H105" s="182" t="str">
        <f>H96</f>
        <v>Base Case</v>
      </c>
      <c r="I105" s="122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4982583.473077761</v>
      </c>
      <c r="D106" s="244">
        <f>(D100+D103)/2</f>
        <v>0.55121479234794468</v>
      </c>
      <c r="E106" s="246">
        <f>(E100+E103)/2</f>
        <v>0.73495305646392628</v>
      </c>
      <c r="F106" s="244">
        <f>(F100+F103)/2</f>
        <v>0.73495305646392628</v>
      </c>
      <c r="G106" s="245"/>
      <c r="H106" s="246">
        <f>(H100+H103)/2</f>
        <v>0.73495305646392628</v>
      </c>
      <c r="I106" s="246">
        <f>(I100+I103)/2</f>
        <v>0.91869132057990788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3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