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5600F99B-0380-2544-9094-7DE05CD1C7D4}" xr6:coauthVersionLast="47" xr6:coauthVersionMax="47" xr10:uidLastSave="{00000000-0000-0000-0000-000000000000}"/>
  <bookViews>
    <workbookView xWindow="1480" yWindow="148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<sst xmlns="http://schemas.openxmlformats.org/spreadsheetml/2006/main" count="350" uniqueCount="250">
  <si>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</si>
  <si>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</si>
  <si>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</si>
  <si>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</si>
  <si>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</si>
  <si>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</si>
  <si>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</si>
  <si>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</si>
  <si>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</si>
  <si>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</si>
  <si>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</si>
  <si>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</si>
  <si>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</si>
  <si>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</si>
  <si>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</si>
  <si>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</si>
  <si>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</si>
  <si>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</si>
  <si>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</si>
  <si>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</si>
  <si>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</si>
  <si>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</si>
  <si>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</si>
  <si>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</si>
  <si>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</si>
  <si>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</si>
  <si>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</si>
  <si>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</si>
  <si>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</si>
  <si>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</si>
  <si>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</si>
  <si>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</si>
  <si>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</si>
  <si>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</si>
  <si>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</si>
  <si>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</si>
  <si>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</si>
  <si>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</si>
  <si>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</si>
  <si>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</si>
  <si>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</si>
  <si>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</si>
  <si>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</si>
  <si>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</si>
  <si>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</si>
  <si>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</si>
  <si>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</si>
  <si>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</si>
  <si>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</si>
  <si>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</si>
  <si>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</si>
  <si>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</si>
  <si>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</si>
  <si>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</si>
  <si>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</si>
  <si>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</si>
  <si>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</si>
  <si>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</si>
  <si>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</si>
  <si>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</si>
  <si>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</si>
  <si>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</si>
  <si>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</si>
  <si>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</si>
  <si>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</si>
  <si>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</si>
  <si>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</si>
  <si>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</si>
  <si>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</si>
  <si>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</si>
  <si>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</si>
  <si>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</si>
  <si>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</si>
  <si>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</si>
  <si>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</si>
  <si>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</si>
  <si>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</si>
  <si>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</si>
  <si>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</si>
  <si>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</si>
  <si>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</si>
  <si>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</si>
  <si>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</si>
  <si>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</si>
  <si>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</si>
  <si>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</si>
  <si>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</si>
  <si>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</si>
  <si>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</si>
  <si>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</si>
  <si>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</si>
  <si>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</si>
  <si>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</si>
  <si>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</si>
  <si>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</si>
  <si>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</si>
  <si>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</si>
  <si>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</si>
  <si>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</si>
  <si>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</si>
  <si>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</si>
  <si>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</si>
  <si>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</si>
  <si>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</si>
  <si>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</si>
  <si>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</si>
  <si>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</si>
  <si>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</si>
  <si>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</si>
  <si>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</si>
  <si>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</si>
  <si>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</si>
  <si>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</si>
  <si>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</si>
  <si>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</si>
  <si>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</si>
  <si>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</si>
  <si>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</si>
  <si>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</si>
  <si>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</si>
  <si>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</si>
  <si>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</si>
  <si>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</si>
  <si>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</si>
  <si>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</si>
  <si>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</si>
  <si>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</si>
  <si>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</si>
  <si>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</si>
  <si>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</si>
  <si>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</si>
  <si>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</si>
  <si>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</si>
  <si>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</si>
  <si>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</si>
  <si>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</si>
  <si>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</si>
  <si>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</si>
  <si>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</si>
  <si>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</si>
  <si>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</si>
  <si>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</si>
  <si>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</si>
  <si>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</si>
  <si>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</si>
  <si>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</si>
  <si>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</si>
  <si>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</si>
  <si>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</si>
  <si>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</si>
  <si>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</si>
  <si>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</si>
  <si>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</si>
  <si>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</si>
  <si>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</si>
  <si>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</si>
  <si>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</si>
  <si>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</si>
  <si>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</si>
  <si>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</si>
  <si>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</si>
  <si>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</si>
  <si>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</si>
  <si>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</si>
  <si>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</si>
  <si>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</si>
  <si>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</si>
  <si>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</si>
  <si>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</si>
  <si>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</si>
  <si>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</si>
  <si>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</si>
  <si>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</si>
  <si>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</si>
  <si>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</si>
  <si>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</si>
  <si>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</si>
  <si>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</si>
  <si>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</si>
  <si>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</si>
  <si>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</si>
  <si>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</si>
  <si>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</si>
  <si>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</si>
  <si>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</si>
  <si>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</si>
  <si>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</si>
  <si>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</si>
  <si>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</si>
  <si>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</si>
  <si>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</si>
  <si>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</si>
  <si>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</si>
  <si>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</si>
  <si>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</si>
  <si>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</si>
  <si>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</si>
  <si>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</si>
  <si>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</si>
  <si>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</si>
  <si>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</si>
  <si>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</si>
  <si>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</si>
  <si>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</si>
  <si>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</si>
  <si>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</si>
  <si>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</si>
  <si>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</si>
  <si>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</si>
  <si>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</si>
  <si>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</si>
  <si>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</si>
  <si>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</si>
  <si>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</si>
  <si>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</si>
  <si>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</si>
  <si>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</si>
  <si>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</si>
  <si>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</si>
  <si>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</si>
  <si>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</si>
  <si>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</si>
  <si>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</si>
  <si>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</si>
  <si>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</si>
  <si>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</si>
  <si>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</si>
  <si>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</si>
  <si>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</si>
  <si>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</si>
  <si>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</si>
  <si>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</si>
  <si>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</si>
  <si>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</si>
  <si>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</si>
  <si>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</si>
  <si>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</si>
  <si>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</si>
  <si>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</si>
  <si>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</si>
  <si>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</si>
  <si>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</si>
  <si>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</si>
  <si>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</si>
  <si>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</si>
  <si>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</si>
  <si>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</si>
  <si>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0939.HK</t>
    <phoneticPr fontId="20" type="noConversion"/>
  </si>
  <si>
    <t>建设银行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</si>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</sst>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4" sqref="C1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0939.HK</v>
      </c>
      <c r="D3" s="247"/>
      <c r="E3" s="87"/>
      <c r="F3" s="3" t="s">
        <v>1</v>
      </c>
      <c r="G3" s="133">
        <v>5.869999885559082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建设银行</v>
      </c>
      <c r="D4" s="249"/>
      <c r="E4" s="87"/>
      <c r="F4" s="3" t="s">
        <v>3</v>
      </c>
      <c r="G4" s="252">
        <f>Inputs!C10</f>
        <v>250010977486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1467564.4092313342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0.47700776116848903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0.15697168260849415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0.41952287453191123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0.28190184478495273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0.2597472795768383</v>
      </c>
    </row>
    <row r="26" spans="1:8" ht="15.75" customHeight="1" x14ac:dyDescent="0.15">
      <c r="B26" s="139" t="s">
        <v>187</v>
      </c>
      <c r="C26" s="177">
        <f>Fin_Analysis!I83</f>
        <v>0.36602055622301682</v>
      </c>
      <c r="F26" s="142" t="s">
        <v>210</v>
      </c>
      <c r="G26" s="184">
        <f>Fin_Analysis!H88*Exchange_Rate/G3</f>
        <v>7.3223237290583595E-2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2.7851897865730342</v>
      </c>
      <c r="D29" s="130">
        <f>IF(Fin_Analysis!C108="Profit",Fin_Analysis!I100,IF(Fin_Analysis!C108="Dividend",Fin_Analysis!I103,Fin_Analysis!I106))</f>
        <v>7.5048314891317593</v>
      </c>
      <c r="E29" s="87"/>
      <c r="F29" s="132">
        <f>IF(Fin_Analysis!C108="Profit",Fin_Analysis!F100,IF(Fin_Analysis!C108="Dividend",Fin_Analysis!F103,Fin_Analysis!F106))</f>
        <v>6.0038651913054073</v>
      </c>
      <c r="G29" s="243">
        <f>IF(Fin_Analysis!C108="Profit",Fin_Analysis!H100,IF(Fin_Analysis!C108="Dividend",Fin_Analysis!H103,Fin_Analysis!H106))</f>
        <v>6.0038651913054073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f>0.4+0.197</f>
        <v>0.59699999999999998</v>
      </c>
    </row>
    <row r="6" spans="1:6" ht="14" x14ac:dyDescent="0.15">
      <c r="B6" s="142" t="s">
        <v>175</v>
      </c>
      <c r="C6" s="196">
        <v>45605</v>
      </c>
      <c r="E6" s="233" t="s">
        <v>225</v>
      </c>
      <c r="F6" s="232">
        <v>0.4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250010977486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1402495</v>
      </c>
      <c r="D19" s="152">
        <v>1324203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669001</v>
      </c>
      <c r="D20" s="153">
        <v>567720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220152</v>
      </c>
      <c r="D21" s="153">
        <v>219991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-193</v>
      </c>
      <c r="D27" s="153">
        <v>136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>
        <v>11972903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>
        <v>213823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>
        <v>8852611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>
        <v>2466431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>
        <v>241133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>
        <v>12220942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>
        <v>-498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>
        <v>3475378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>
        <v>3339708</v>
      </c>
      <c r="D40" s="60">
        <v>0.9</v>
      </c>
      <c r="E40" s="113"/>
    </row>
    <row r="41" spans="2:13" ht="14" x14ac:dyDescent="0.15">
      <c r="B41" s="1" t="s">
        <v>146</v>
      </c>
      <c r="C41" s="59">
        <v>683021</v>
      </c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>
        <v>2962684</v>
      </c>
      <c r="D43" s="60">
        <v>0.6</v>
      </c>
      <c r="E43" s="113"/>
    </row>
    <row r="44" spans="2:13" ht="14" x14ac:dyDescent="0.15">
      <c r="B44" s="3" t="s">
        <v>44</v>
      </c>
      <c r="C44" s="59">
        <v>6961515</v>
      </c>
      <c r="D44" s="60">
        <v>0.5</v>
      </c>
      <c r="E44" s="113"/>
    </row>
    <row r="45" spans="2:13" ht="14" x14ac:dyDescent="0.15">
      <c r="B45" s="1" t="s">
        <v>170</v>
      </c>
      <c r="C45" s="59">
        <v>25589624</v>
      </c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>
        <v>82672</v>
      </c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>
        <v>21347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>
        <v>4094</v>
      </c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>
        <v>181735</v>
      </c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>
        <v>5722</v>
      </c>
      <c r="D62" s="60">
        <v>0.05</v>
      </c>
      <c r="E62" s="113"/>
    </row>
    <row r="63" spans="2:5" ht="14" x14ac:dyDescent="0.15">
      <c r="B63" s="3" t="s">
        <v>75</v>
      </c>
      <c r="C63" s="59">
        <v>118797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343468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33710837</v>
      </c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>
        <v>2498474</v>
      </c>
    </row>
    <row r="70" spans="2:3" ht="15" thickBot="1" x14ac:dyDescent="0.2">
      <c r="B70" s="80" t="s">
        <v>16</v>
      </c>
      <c r="C70" s="83">
        <v>37038911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>
        <v>3234661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1402495</v>
      </c>
      <c r="D6" s="209">
        <f>IF(Inputs!D19="","",Inputs!D19)</f>
        <v>1324203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669001</v>
      </c>
      <c r="D8" s="208">
        <f>IF(Inputs!D20="","",Inputs!D20)</f>
        <v>567720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733494</v>
      </c>
      <c r="D9" s="154">
        <f t="shared" si="2"/>
        <v>756483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220152</v>
      </c>
      <c r="D10" s="208">
        <f>IF(Inputs!D21="","",Inputs!D21)</f>
        <v>219991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513342</v>
      </c>
      <c r="D13" s="154">
        <f t="shared" ref="D13:M13" si="4">IF(D6="","",(D9-D10+MAX(D12,0)))</f>
        <v>536492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-193</v>
      </c>
      <c r="D18" s="208">
        <f>IF(Inputs!D27="","",Inputs!D27)</f>
        <v>136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513342</v>
      </c>
      <c r="D19" s="237">
        <f>IF(D6="","",D9-D10-MAX(D17,0)-MAX(D18,0)/(1-Fin_Analysis!$I$84))</f>
        <v>536310.66666666663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-4.282716733833368E-2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513342</v>
      </c>
      <c r="D21" s="77">
        <f>IF(D6="","",D13-MAX(D14,0)-MAX(D15,0)-MAX(D16,0)-MAX(D17,0)-MAX(D18,0)/(1-Fin_Analysis!$I$84))</f>
        <v>536310.66666666663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-4.282716733833368E-2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0.27451541716726263</v>
      </c>
      <c r="D23" s="157">
        <f t="shared" si="7"/>
        <v>0.30375478684159452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385006.5</v>
      </c>
      <c r="D24" s="77">
        <f>IF(D6="","",D21*(1-Fin_Analysis!$I$84))</f>
        <v>402233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-4.2827167338333749E-2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40294387</v>
      </c>
      <c r="D27" s="65">
        <f t="shared" ref="D27:M27" si="18">IF(D36="","",D36+D31+D32)</f>
        <v>14928506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39536552</v>
      </c>
      <c r="D28" s="208">
        <f>IF(Inputs!D28="","",Inputs!D28)</f>
        <v>11972903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>
        <f>IF(Inputs!D29="","",Inputs!D29)</f>
        <v>213823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>
        <f>IF(Inputs!D30="","",Inputs!D30)</f>
        <v>8852611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37038911</v>
      </c>
      <c r="D31" s="208">
        <f>IF(Inputs!D31="","",Inputs!D31)</f>
        <v>2466431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>
        <f>IF(Inputs!D32="","",Inputs!D32)</f>
        <v>241133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36209311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36209311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3255476</v>
      </c>
      <c r="D36" s="208">
        <f>IF(Inputs!D35="","",Inputs!D35)</f>
        <v>12220942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20815</v>
      </c>
      <c r="D37" s="208">
        <f>IF(Inputs!D36="","",Inputs!D36)</f>
        <v>-498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13367926</v>
      </c>
      <c r="D38" s="208">
        <f>IF(Inputs!D37="","",Inputs!D37)</f>
        <v>3475378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>
        <f t="shared" ref="C40" si="31">IF(C6="","",C21/C39)</f>
        <v>1.9064592261121876E-2</v>
      </c>
      <c r="D40" s="160">
        <f>IF(D39="","",D21/D39)</f>
        <v>4.6826567088629992E-2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0.47700776116848903</v>
      </c>
      <c r="D42" s="161">
        <f t="shared" si="33"/>
        <v>0.42872580714588321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0.15697168260849415</v>
      </c>
      <c r="D43" s="157">
        <f t="shared" ref="D43:M43" si="34">IF(D6="","",(D10-MAX(D12,0))/D6)</f>
        <v>0.16613087268341786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1.3693771523953151E-4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0.36602055622301682</v>
      </c>
      <c r="D48" s="157">
        <f t="shared" si="38"/>
        <v>0.40500638245545934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>
        <f t="shared" ref="D50:M50" si="39">IF(D29="","",D29/D6)</f>
        <v>0.16147297657534382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>
        <f t="shared" ref="D51:M51" si="40">IF(D30="","",D30/D6)</f>
        <v>6.6852370822298397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>
        <f>IF(C36="","",(C27-C36)/C27)</f>
        <v>0.91920770503345783</v>
      </c>
      <c r="D53" s="161">
        <f t="shared" ref="D53:M53" si="41">IF(D36="","",(D27-D36)/D27)</f>
        <v>0.1813687183432823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>
        <f>IF(OR(C21="",C35=""),"",IF(C35&lt;=0,"-",C21/C35))</f>
        <v>1.4177071748203107E-2</v>
      </c>
      <c r="D54" s="162">
        <f t="shared" ref="D54:M54" si="42">IF(OR(D21="",D35=""),"",IF(D35&lt;=0,"-",D21/D35))</f>
        <v>5.2102382756588357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>
        <f t="shared" ref="C56:M56" si="44">IF(C28="","",C28/C31)</f>
        <v>1.0674328950978067</v>
      </c>
      <c r="D56" s="163">
        <f t="shared" si="44"/>
        <v>4.8543433811852026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96" sqref="C9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15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-13719339.066050878</v>
      </c>
      <c r="E6" s="56">
        <f>1-D6/D3</f>
        <v>5.2142344363929816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3339708</v>
      </c>
      <c r="D11" s="207">
        <f>Inputs!D40</f>
        <v>0.9</v>
      </c>
      <c r="E11" s="88">
        <f t="shared" ref="E11:E22" si="0">C11*D11</f>
        <v>3005737.2</v>
      </c>
      <c r="F11" s="113"/>
      <c r="G11" s="87"/>
      <c r="H11" s="3" t="s">
        <v>39</v>
      </c>
      <c r="I11" s="40">
        <f>Inputs!C66</f>
        <v>33710837</v>
      </c>
      <c r="J11" s="87"/>
      <c r="K11" s="24"/>
    </row>
    <row r="12" spans="1:11" ht="14" x14ac:dyDescent="0.15">
      <c r="B12" s="1" t="s">
        <v>146</v>
      </c>
      <c r="C12" s="40">
        <f>Inputs!C41</f>
        <v>683021</v>
      </c>
      <c r="D12" s="207">
        <f>Inputs!D41</f>
        <v>0.8</v>
      </c>
      <c r="E12" s="88">
        <f t="shared" si="0"/>
        <v>546416.80000000005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2962684</v>
      </c>
      <c r="D14" s="207">
        <f>Inputs!D43</f>
        <v>0.6</v>
      </c>
      <c r="E14" s="88">
        <f t="shared" si="0"/>
        <v>1777610.4</v>
      </c>
      <c r="F14" s="113"/>
      <c r="G14" s="87"/>
      <c r="H14" s="86" t="s">
        <v>43</v>
      </c>
      <c r="I14" s="214">
        <f>Inputs!C69</f>
        <v>2498474</v>
      </c>
      <c r="J14" s="87"/>
      <c r="K14" s="27"/>
    </row>
    <row r="15" spans="1:11" ht="14" x14ac:dyDescent="0.15">
      <c r="B15" s="3" t="s">
        <v>44</v>
      </c>
      <c r="C15" s="40">
        <f>Inputs!C44</f>
        <v>6961515</v>
      </c>
      <c r="D15" s="207">
        <f>Inputs!D44</f>
        <v>0.5</v>
      </c>
      <c r="E15" s="88">
        <f t="shared" si="0"/>
        <v>3480757.5</v>
      </c>
      <c r="F15" s="113"/>
      <c r="G15" s="87"/>
      <c r="H15" s="1" t="s">
        <v>54</v>
      </c>
      <c r="I15" s="84">
        <f>SUM(I11:I14)</f>
        <v>36209311</v>
      </c>
      <c r="J15" s="87"/>
    </row>
    <row r="16" spans="1:11" ht="14" x14ac:dyDescent="0.15">
      <c r="B16" s="1" t="s">
        <v>170</v>
      </c>
      <c r="C16" s="40">
        <f>Inputs!C45</f>
        <v>25589624</v>
      </c>
      <c r="D16" s="207">
        <f>Inputs!D45</f>
        <v>0.6</v>
      </c>
      <c r="E16" s="88">
        <f t="shared" si="0"/>
        <v>15353774.399999999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829600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4">
        <f>E24/$E$28</f>
        <v>0.22056360896385802</v>
      </c>
      <c r="G24" s="87"/>
    </row>
    <row r="25" spans="2:10" ht="15" customHeight="1" x14ac:dyDescent="0.15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4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3"/>
      <c r="G28" s="87"/>
      <c r="H28" s="78" t="s">
        <v>16</v>
      </c>
      <c r="I28" s="215">
        <f>Inputs!C70</f>
        <v>37038911</v>
      </c>
      <c r="J28" s="32">
        <f>IF(J26="",1,0)+IF(J27="",1,0)+IF(J46="",1,0)+IF(J47="",1,0)</f>
        <v>1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82672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21347</v>
      </c>
      <c r="D35" s="207">
        <f>Inputs!D57</f>
        <v>0.1</v>
      </c>
      <c r="E35" s="88">
        <f t="shared" si="1"/>
        <v>2134.7000000000003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4094</v>
      </c>
      <c r="D37" s="207">
        <f>Inputs!D59</f>
        <v>0.1</v>
      </c>
      <c r="E37" s="88">
        <f t="shared" si="1"/>
        <v>409.40000000000003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181735</v>
      </c>
      <c r="D38" s="207">
        <f>Inputs!D60</f>
        <v>0.1</v>
      </c>
      <c r="E38" s="88">
        <f t="shared" si="1"/>
        <v>18173.5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5722</v>
      </c>
      <c r="D40" s="207">
        <f>Inputs!D62</f>
        <v>0.05</v>
      </c>
      <c r="E40" s="88">
        <f t="shared" si="1"/>
        <v>286.10000000000002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118797</v>
      </c>
      <c r="D41" s="207">
        <f>Inputs!D63</f>
        <v>0.9</v>
      </c>
      <c r="E41" s="88">
        <f t="shared" si="1"/>
        <v>106917.3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343468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36209311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3422380</v>
      </c>
      <c r="D62" s="108">
        <f t="shared" si="2"/>
        <v>0.87825933999146799</v>
      </c>
      <c r="E62" s="119">
        <f>E11+E30</f>
        <v>3005737.2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36209311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829600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1402495</v>
      </c>
      <c r="D74" s="218"/>
      <c r="E74" s="205">
        <f>H74</f>
        <v>1402495</v>
      </c>
      <c r="F74" s="218"/>
      <c r="H74" s="205">
        <f>C74</f>
        <v>1402495</v>
      </c>
      <c r="I74" s="218"/>
      <c r="K74" s="24"/>
    </row>
    <row r="75" spans="1:11" ht="15" customHeight="1" x14ac:dyDescent="0.15">
      <c r="B75" s="105" t="s">
        <v>109</v>
      </c>
      <c r="C75" s="77">
        <f>Data!C8</f>
        <v>669001</v>
      </c>
      <c r="D75" s="164">
        <f>C75/$C$74</f>
        <v>0.47700776116848903</v>
      </c>
      <c r="E75" s="186">
        <f>E74*F75</f>
        <v>669001</v>
      </c>
      <c r="F75" s="165">
        <f>I75</f>
        <v>0.47700776116848903</v>
      </c>
      <c r="H75" s="205">
        <f>D75*H74</f>
        <v>669001</v>
      </c>
      <c r="I75" s="165">
        <f>H75/$H$74</f>
        <v>0.47700776116848903</v>
      </c>
      <c r="K75" s="24"/>
    </row>
    <row r="76" spans="1:11" ht="15" customHeight="1" x14ac:dyDescent="0.15">
      <c r="B76" s="35" t="s">
        <v>96</v>
      </c>
      <c r="C76" s="166">
        <f>C74-C75</f>
        <v>733494</v>
      </c>
      <c r="D76" s="219"/>
      <c r="E76" s="167">
        <f>E74-E75</f>
        <v>733494</v>
      </c>
      <c r="F76" s="219"/>
      <c r="H76" s="167">
        <f>H74-H75</f>
        <v>733494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220152</v>
      </c>
      <c r="D77" s="164">
        <f>C77/$C$74</f>
        <v>0.15697168260849415</v>
      </c>
      <c r="E77" s="186">
        <f>E74*F77</f>
        <v>220152</v>
      </c>
      <c r="F77" s="165">
        <f>I77</f>
        <v>0.15697168260849415</v>
      </c>
      <c r="H77" s="205">
        <f>D77*H74</f>
        <v>220152</v>
      </c>
      <c r="I77" s="165">
        <f>H77/$H$74</f>
        <v>0.15697168260849415</v>
      </c>
      <c r="K77" s="24"/>
    </row>
    <row r="78" spans="1:11" ht="15" customHeight="1" x14ac:dyDescent="0.15">
      <c r="B78" s="35" t="s">
        <v>97</v>
      </c>
      <c r="C78" s="166">
        <f>C76-C77</f>
        <v>513342</v>
      </c>
      <c r="D78" s="219"/>
      <c r="E78" s="167">
        <f>E76-E77</f>
        <v>513342</v>
      </c>
      <c r="F78" s="219"/>
      <c r="H78" s="167">
        <f>H76-H77</f>
        <v>513342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513342</v>
      </c>
      <c r="D83" s="169">
        <f>C83/$C$74</f>
        <v>0.36602055622301682</v>
      </c>
      <c r="E83" s="170">
        <f>E78-E79-E80-E81-E82</f>
        <v>513342</v>
      </c>
      <c r="F83" s="169">
        <f>E83/E74</f>
        <v>0.36602055622301682</v>
      </c>
      <c r="H83" s="170">
        <f>H78-H79-H80-H81-H82</f>
        <v>513342</v>
      </c>
      <c r="I83" s="169">
        <f>H83/$H$74</f>
        <v>0.36602055622301682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385006.5</v>
      </c>
      <c r="D85" s="171">
        <f>C85/$C$74</f>
        <v>0.27451541716726263</v>
      </c>
      <c r="E85" s="172">
        <f>E83*(1-F84)</f>
        <v>385006.5</v>
      </c>
      <c r="F85" s="171">
        <f>E85/E74</f>
        <v>0.27451541716726263</v>
      </c>
      <c r="H85" s="172">
        <f>H83*(1-I84)</f>
        <v>385006.5</v>
      </c>
      <c r="I85" s="171">
        <f>H85/$H$74</f>
        <v>0.27451541716726263</v>
      </c>
      <c r="K85" s="24"/>
    </row>
    <row r="86" spans="1:11" ht="15" customHeight="1" x14ac:dyDescent="0.15">
      <c r="B86" s="87" t="s">
        <v>172</v>
      </c>
      <c r="C86" s="173">
        <f>C85*Data!C4/Common_Shares</f>
        <v>1.5399583805137493</v>
      </c>
      <c r="D86" s="218"/>
      <c r="E86" s="174">
        <f>E85*Data!C4/Common_Shares</f>
        <v>1.5399583805137493</v>
      </c>
      <c r="F86" s="218"/>
      <c r="H86" s="174">
        <f>H85*Data!C4/Common_Shares</f>
        <v>1.5399583805137493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0.28190184478495273</v>
      </c>
      <c r="D87" s="218"/>
      <c r="E87" s="239">
        <f>E86*Exchange_Rate/Dashboard!G3</f>
        <v>0.28190184478495273</v>
      </c>
      <c r="F87" s="218"/>
      <c r="H87" s="239">
        <f>H86*Exchange_Rate/Dashboard!G3</f>
        <v>0.28190184478495273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0.59699999999999998</v>
      </c>
      <c r="D88" s="171">
        <f>C88/C86</f>
        <v>0.38767281476843118</v>
      </c>
      <c r="E88" s="204">
        <f>H88</f>
        <v>0.4</v>
      </c>
      <c r="F88" s="171">
        <f>E88/E86</f>
        <v>0.2597472795768383</v>
      </c>
      <c r="H88" s="176">
        <f>Inputs!F6</f>
        <v>0.4</v>
      </c>
      <c r="I88" s="171">
        <f>H88/H86</f>
        <v>0.2597472795768383</v>
      </c>
      <c r="K88" s="24"/>
    </row>
    <row r="89" spans="1:11" ht="15" customHeight="1" x14ac:dyDescent="0.15">
      <c r="B89" s="87" t="s">
        <v>246</v>
      </c>
      <c r="C89" s="165">
        <f>C88*Exchange_Rate/Dashboard!G3</f>
        <v>0.10928568165619602</v>
      </c>
      <c r="D89" s="218"/>
      <c r="E89" s="165">
        <f>E88*Exchange_Rate/Dashboard!G3</f>
        <v>7.3223237290583595E-2</v>
      </c>
      <c r="F89" s="218"/>
      <c r="H89" s="165">
        <f>H88*Exchange_Rate/Dashboard!G3</f>
        <v>7.3223237290583595E-2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74.037262041479465</v>
      </c>
      <c r="H93" s="87" t="s">
        <v>229</v>
      </c>
      <c r="I93" s="146">
        <f>FV(H87,D93,0,-(H86/C93))</f>
        <v>74.037262041479465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7.9100245580861914</v>
      </c>
      <c r="H94" s="87" t="s">
        <v>230</v>
      </c>
      <c r="I94" s="146">
        <f>FV(H89,D93,0,-(H88/C93))</f>
        <v>7.9100245580861914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14049553.688609472</v>
      </c>
      <c r="E97" s="124">
        <f>PV(C94,D93,0,-F93)*Exchange_Rate</f>
        <v>26.069176467089427</v>
      </c>
      <c r="F97" s="124">
        <f>PV(C93,D93,0,-F93)*Exchange_Rate</f>
        <v>56.195747202325194</v>
      </c>
      <c r="H97" s="124">
        <f>PV(C93,D93,0,-I93)*Exchange_Rate</f>
        <v>56.195747202325194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22366.778779625893</v>
      </c>
      <c r="E98" s="222"/>
      <c r="F98" s="222"/>
      <c r="H98" s="124">
        <f>C98*Data!$C$4/Common_Shares</f>
        <v>8.9463186794981345E-2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-30026254.717931081</v>
      </c>
      <c r="E99" s="223"/>
      <c r="F99" s="148">
        <f>IF(H99&gt;0,H99*0.85,H99*1.15)</f>
        <v>-138.1147070934289</v>
      </c>
      <c r="H99" s="148">
        <f>C99*Data!$C$4/Common_Shares</f>
        <v>-120.09974529863385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-15999067.808101235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1501032.2051724354</v>
      </c>
      <c r="E103" s="110">
        <f>PV(C94,D93,0,-F94)*Exchange_Rate</f>
        <v>2.7851897865730342</v>
      </c>
      <c r="F103" s="124">
        <f>PV(C93,D93,0,-F94)*Exchange_Rate</f>
        <v>6.0038651913054073</v>
      </c>
      <c r="H103" s="124">
        <f>PV(C93,D93,0,-I94)*Exchange_Rate</f>
        <v>6.0038651913054073</v>
      </c>
      <c r="I103" s="110">
        <f>H103*1.25</f>
        <v>7.5048314891317593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750516.10258621769</v>
      </c>
      <c r="E106" s="110">
        <f>(E100+E103)/2</f>
        <v>1.3925948932865171</v>
      </c>
      <c r="F106" s="124">
        <f>(F100+F103)/2</f>
        <v>3.0019325956527037</v>
      </c>
      <c r="H106" s="124">
        <f>(H100+H103)/2</f>
        <v>3.0019325956527037</v>
      </c>
      <c r="I106" s="110">
        <f>H106*1.25</f>
        <v>3.7524157445658797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